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HECTOR 2016\NOMINA CENDI\"/>
    </mc:Choice>
  </mc:AlternateContent>
  <bookViews>
    <workbookView xWindow="0" yWindow="0" windowWidth="24000" windowHeight="9600" firstSheet="17" activeTab="23"/>
  </bookViews>
  <sheets>
    <sheet name="Nómina 1a. Sep" sheetId="5" r:id="rId1"/>
    <sheet name="Nómina 2a. sep" sheetId="6" r:id="rId2"/>
    <sheet name="Nómina 1a. oct" sheetId="7" r:id="rId3"/>
    <sheet name="Nómina 2a. oct (2)" sheetId="8" r:id="rId4"/>
    <sheet name="1A NOVIEMBRE 2015" sheetId="14" r:id="rId5"/>
    <sheet name="2A NOVIEMBRE 2015" sheetId="16" r:id="rId6"/>
    <sheet name="1A DICIEMBRE 2015" sheetId="18" r:id="rId7"/>
    <sheet name="2A DICIEMBRE 2015" sheetId="22" r:id="rId8"/>
    <sheet name="1A ENERO 2016" sheetId="24" r:id="rId9"/>
    <sheet name="2A ENERO 2016" sheetId="27" r:id="rId10"/>
    <sheet name="1A FEBRERO 2016" sheetId="28" r:id="rId11"/>
    <sheet name="2A FEBRERO 2016" sheetId="29" r:id="rId12"/>
    <sheet name="1A MARZO 2016" sheetId="30" r:id="rId13"/>
    <sheet name="2A MARZO 2016" sheetId="31" r:id="rId14"/>
    <sheet name="1A ABRIL 2016" sheetId="32" r:id="rId15"/>
    <sheet name="2A ABRIL 2016" sheetId="33" r:id="rId16"/>
    <sheet name="1A MAYO" sheetId="34" r:id="rId17"/>
    <sheet name="2A MAYO" sheetId="35" r:id="rId18"/>
    <sheet name="1A JUNIO " sheetId="40" r:id="rId19"/>
    <sheet name="2DA JUNIO" sheetId="41" r:id="rId20"/>
    <sheet name="1A JULIO" sheetId="43" r:id="rId21"/>
    <sheet name="2DA JULIO " sheetId="44" r:id="rId22"/>
    <sheet name="1A AGOSTO" sheetId="45" r:id="rId23"/>
    <sheet name="2DA AGOSTO " sheetId="46" r:id="rId24"/>
  </sheets>
  <definedNames>
    <definedName name="_xlnm._FilterDatabase" localSheetId="16" hidden="1">'1A MAYO'!$E$3:$E$62</definedName>
    <definedName name="_xlnm.Print_Area" localSheetId="17">'2A MAYO'!$B$1:$S$55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46" l="1"/>
  <c r="S49" i="46"/>
  <c r="O49" i="46"/>
  <c r="M49" i="46"/>
  <c r="L49" i="46"/>
  <c r="K49" i="46"/>
  <c r="J49" i="46"/>
  <c r="I49" i="46"/>
  <c r="G49" i="46"/>
  <c r="E49" i="46"/>
  <c r="U48" i="46"/>
  <c r="U49" i="46" s="1"/>
  <c r="P48" i="46"/>
  <c r="P49" i="46" s="1"/>
  <c r="N48" i="46"/>
  <c r="N49" i="46" s="1"/>
  <c r="K48" i="46"/>
  <c r="T45" i="46"/>
  <c r="S45" i="46"/>
  <c r="O45" i="46"/>
  <c r="N45" i="46"/>
  <c r="M45" i="46"/>
  <c r="L45" i="46"/>
  <c r="K45" i="46"/>
  <c r="J45" i="46"/>
  <c r="I45" i="46"/>
  <c r="G45" i="46"/>
  <c r="E45" i="46"/>
  <c r="U44" i="46"/>
  <c r="P44" i="46"/>
  <c r="P45" i="46" s="1"/>
  <c r="K44" i="46"/>
  <c r="U43" i="46"/>
  <c r="U45" i="46" s="1"/>
  <c r="Q43" i="46"/>
  <c r="R43" i="46" s="1"/>
  <c r="P43" i="46"/>
  <c r="K43" i="46"/>
  <c r="T40" i="46"/>
  <c r="S40" i="46"/>
  <c r="O40" i="46"/>
  <c r="M40" i="46"/>
  <c r="L40" i="46"/>
  <c r="J40" i="46"/>
  <c r="I40" i="46"/>
  <c r="G40" i="46"/>
  <c r="E40" i="46"/>
  <c r="U39" i="46"/>
  <c r="Q39" i="46"/>
  <c r="P39" i="46"/>
  <c r="N39" i="46"/>
  <c r="K39" i="46"/>
  <c r="R39" i="46" s="1"/>
  <c r="U38" i="46"/>
  <c r="P38" i="46"/>
  <c r="N38" i="46"/>
  <c r="Q38" i="46" s="1"/>
  <c r="K38" i="46"/>
  <c r="U37" i="46"/>
  <c r="Q37" i="46"/>
  <c r="R37" i="46" s="1"/>
  <c r="P37" i="46"/>
  <c r="K37" i="46"/>
  <c r="U36" i="46"/>
  <c r="P36" i="46"/>
  <c r="N36" i="46"/>
  <c r="Q36" i="46" s="1"/>
  <c r="K36" i="46"/>
  <c r="U35" i="46"/>
  <c r="P35" i="46"/>
  <c r="Q35" i="46" s="1"/>
  <c r="N35" i="46"/>
  <c r="K35" i="46"/>
  <c r="R35" i="46" s="1"/>
  <c r="U34" i="46"/>
  <c r="P34" i="46"/>
  <c r="N34" i="46"/>
  <c r="Q34" i="46" s="1"/>
  <c r="K34" i="46"/>
  <c r="U33" i="46"/>
  <c r="P33" i="46"/>
  <c r="Q33" i="46" s="1"/>
  <c r="R33" i="46" s="1"/>
  <c r="K33" i="46"/>
  <c r="U32" i="46"/>
  <c r="Q32" i="46"/>
  <c r="P32" i="46"/>
  <c r="N32" i="46"/>
  <c r="K32" i="46"/>
  <c r="R32" i="46" s="1"/>
  <c r="U31" i="46"/>
  <c r="P31" i="46"/>
  <c r="N31" i="46"/>
  <c r="Q31" i="46" s="1"/>
  <c r="K31" i="46"/>
  <c r="U30" i="46"/>
  <c r="Q30" i="46"/>
  <c r="R30" i="46" s="1"/>
  <c r="P30" i="46"/>
  <c r="K30" i="46"/>
  <c r="U29" i="46"/>
  <c r="U40" i="46" s="1"/>
  <c r="P29" i="46"/>
  <c r="N29" i="46"/>
  <c r="Q29" i="46" s="1"/>
  <c r="Q40" i="46" s="1"/>
  <c r="K29" i="46"/>
  <c r="T26" i="46"/>
  <c r="S26" i="46"/>
  <c r="O26" i="46"/>
  <c r="M26" i="46"/>
  <c r="L26" i="46"/>
  <c r="J26" i="46"/>
  <c r="I26" i="46"/>
  <c r="G26" i="46"/>
  <c r="E26" i="46"/>
  <c r="U25" i="46"/>
  <c r="P25" i="46"/>
  <c r="N25" i="46"/>
  <c r="Q25" i="46" s="1"/>
  <c r="K25" i="46"/>
  <c r="U24" i="46"/>
  <c r="Q24" i="46"/>
  <c r="P24" i="46"/>
  <c r="N24" i="46"/>
  <c r="K24" i="46"/>
  <c r="R24" i="46" s="1"/>
  <c r="U23" i="46"/>
  <c r="U26" i="46" s="1"/>
  <c r="P23" i="46"/>
  <c r="P26" i="46" s="1"/>
  <c r="K23" i="46"/>
  <c r="T20" i="46"/>
  <c r="T52" i="46" s="1"/>
  <c r="S20" i="46"/>
  <c r="O20" i="46"/>
  <c r="M20" i="46"/>
  <c r="L20" i="46"/>
  <c r="L52" i="46" s="1"/>
  <c r="J20" i="46"/>
  <c r="I20" i="46"/>
  <c r="G20" i="46"/>
  <c r="G52" i="46" s="1"/>
  <c r="E20" i="46"/>
  <c r="U19" i="46"/>
  <c r="P19" i="46"/>
  <c r="N19" i="46"/>
  <c r="Q19" i="46" s="1"/>
  <c r="K19" i="46"/>
  <c r="R19" i="46" s="1"/>
  <c r="U18" i="46"/>
  <c r="Q18" i="46"/>
  <c r="P18" i="46"/>
  <c r="N18" i="46"/>
  <c r="K18" i="46"/>
  <c r="R18" i="46" s="1"/>
  <c r="U17" i="46"/>
  <c r="P17" i="46"/>
  <c r="Q17" i="46" s="1"/>
  <c r="K17" i="46"/>
  <c r="R17" i="46" s="1"/>
  <c r="U16" i="46"/>
  <c r="P16" i="46"/>
  <c r="Q16" i="46" s="1"/>
  <c r="N16" i="46"/>
  <c r="K16" i="46"/>
  <c r="U15" i="46"/>
  <c r="P15" i="46"/>
  <c r="N15" i="46"/>
  <c r="Q15" i="46" s="1"/>
  <c r="K15" i="46"/>
  <c r="R15" i="46" s="1"/>
  <c r="U14" i="46"/>
  <c r="Q14" i="46"/>
  <c r="K14" i="46"/>
  <c r="R14" i="46" s="1"/>
  <c r="U13" i="46"/>
  <c r="P13" i="46"/>
  <c r="P20" i="46" s="1"/>
  <c r="K13" i="46"/>
  <c r="U12" i="46"/>
  <c r="U20" i="46" s="1"/>
  <c r="Q12" i="46"/>
  <c r="P12" i="46"/>
  <c r="N12" i="46"/>
  <c r="K12" i="46"/>
  <c r="U9" i="46"/>
  <c r="T9" i="46"/>
  <c r="S9" i="46"/>
  <c r="S52" i="46" s="1"/>
  <c r="O9" i="46"/>
  <c r="O52" i="46" s="1"/>
  <c r="M9" i="46"/>
  <c r="M52" i="46" s="1"/>
  <c r="L9" i="46"/>
  <c r="J9" i="46"/>
  <c r="J52" i="46" s="1"/>
  <c r="I9" i="46"/>
  <c r="I52" i="46" s="1"/>
  <c r="G9" i="46"/>
  <c r="E9" i="46"/>
  <c r="E52" i="46" s="1"/>
  <c r="U8" i="46"/>
  <c r="P8" i="46"/>
  <c r="N8" i="46"/>
  <c r="Q8" i="46" s="1"/>
  <c r="K8" i="46"/>
  <c r="R8" i="46" s="1"/>
  <c r="U7" i="46"/>
  <c r="P7" i="46"/>
  <c r="P9" i="46" s="1"/>
  <c r="N7" i="46"/>
  <c r="K7" i="46"/>
  <c r="K9" i="46" s="1"/>
  <c r="K40" i="46" l="1"/>
  <c r="K20" i="46"/>
  <c r="U52" i="46"/>
  <c r="R16" i="46"/>
  <c r="R25" i="46"/>
  <c r="R31" i="46"/>
  <c r="R34" i="46"/>
  <c r="R36" i="46"/>
  <c r="R38" i="46"/>
  <c r="R48" i="46"/>
  <c r="R49" i="46" s="1"/>
  <c r="N20" i="46"/>
  <c r="N26" i="46"/>
  <c r="R29" i="46"/>
  <c r="R40" i="46" s="1"/>
  <c r="P40" i="46"/>
  <c r="P52" i="46" s="1"/>
  <c r="Q7" i="46"/>
  <c r="Q9" i="46" s="1"/>
  <c r="N9" i="46"/>
  <c r="R12" i="46"/>
  <c r="Q13" i="46"/>
  <c r="R13" i="46" s="1"/>
  <c r="K26" i="46"/>
  <c r="R7" i="46"/>
  <c r="R9" i="46" s="1"/>
  <c r="Q23" i="46"/>
  <c r="Q26" i="46" s="1"/>
  <c r="N40" i="46"/>
  <c r="Q48" i="46"/>
  <c r="Q49" i="46" s="1"/>
  <c r="Q44" i="46"/>
  <c r="R44" i="46" s="1"/>
  <c r="R45" i="46" s="1"/>
  <c r="G9" i="45"/>
  <c r="G20" i="45"/>
  <c r="P9" i="45"/>
  <c r="P20" i="45"/>
  <c r="P26" i="45"/>
  <c r="P40" i="45"/>
  <c r="P45" i="45"/>
  <c r="P49" i="45"/>
  <c r="K52" i="46" l="1"/>
  <c r="R20" i="46"/>
  <c r="N52" i="46"/>
  <c r="Q20" i="46"/>
  <c r="Q52" i="46" s="1"/>
  <c r="Q45" i="46"/>
  <c r="R23" i="46"/>
  <c r="R26" i="46" s="1"/>
  <c r="P52" i="45"/>
  <c r="U49" i="45"/>
  <c r="T49" i="45"/>
  <c r="S49" i="45"/>
  <c r="Q49" i="45"/>
  <c r="O49" i="45"/>
  <c r="M49" i="45"/>
  <c r="L49" i="45"/>
  <c r="J49" i="45"/>
  <c r="I49" i="45"/>
  <c r="G49" i="45"/>
  <c r="E49" i="45"/>
  <c r="U48" i="45"/>
  <c r="Q48" i="45"/>
  <c r="P48" i="45"/>
  <c r="N48" i="45"/>
  <c r="N49" i="45" s="1"/>
  <c r="K48" i="45"/>
  <c r="K49" i="45" s="1"/>
  <c r="T45" i="45"/>
  <c r="S45" i="45"/>
  <c r="O45" i="45"/>
  <c r="N45" i="45"/>
  <c r="M45" i="45"/>
  <c r="L45" i="45"/>
  <c r="J45" i="45"/>
  <c r="J52" i="45" s="1"/>
  <c r="I45" i="45"/>
  <c r="G45" i="45"/>
  <c r="E45" i="45"/>
  <c r="U44" i="45"/>
  <c r="K44" i="45"/>
  <c r="U43" i="45"/>
  <c r="U45" i="45" s="1"/>
  <c r="P43" i="45"/>
  <c r="K43" i="45"/>
  <c r="T40" i="45"/>
  <c r="S40" i="45"/>
  <c r="O40" i="45"/>
  <c r="M40" i="45"/>
  <c r="L40" i="45"/>
  <c r="J40" i="45"/>
  <c r="I40" i="45"/>
  <c r="G40" i="45"/>
  <c r="E40" i="45"/>
  <c r="U39" i="45"/>
  <c r="P39" i="45"/>
  <c r="N39" i="45"/>
  <c r="Q39" i="45" s="1"/>
  <c r="K39" i="45"/>
  <c r="R39" i="45" s="1"/>
  <c r="U38" i="45"/>
  <c r="Q38" i="45"/>
  <c r="P38" i="45"/>
  <c r="N38" i="45"/>
  <c r="K38" i="45"/>
  <c r="R38" i="45" s="1"/>
  <c r="U37" i="45"/>
  <c r="P37" i="45"/>
  <c r="Q37" i="45" s="1"/>
  <c r="K37" i="45"/>
  <c r="R37" i="45" s="1"/>
  <c r="U36" i="45"/>
  <c r="Q36" i="45"/>
  <c r="P36" i="45"/>
  <c r="N36" i="45"/>
  <c r="K36" i="45"/>
  <c r="R36" i="45" s="1"/>
  <c r="U35" i="45"/>
  <c r="P35" i="45"/>
  <c r="N35" i="45"/>
  <c r="Q35" i="45" s="1"/>
  <c r="K35" i="45"/>
  <c r="U34" i="45"/>
  <c r="Q34" i="45"/>
  <c r="P34" i="45"/>
  <c r="N34" i="45"/>
  <c r="K34" i="45"/>
  <c r="R34" i="45" s="1"/>
  <c r="U33" i="45"/>
  <c r="P33" i="45"/>
  <c r="Q33" i="45" s="1"/>
  <c r="K33" i="45"/>
  <c r="U32" i="45"/>
  <c r="P32" i="45"/>
  <c r="N32" i="45"/>
  <c r="Q32" i="45" s="1"/>
  <c r="K32" i="45"/>
  <c r="U31" i="45"/>
  <c r="Q31" i="45"/>
  <c r="P31" i="45"/>
  <c r="N31" i="45"/>
  <c r="K31" i="45"/>
  <c r="R31" i="45" s="1"/>
  <c r="U30" i="45"/>
  <c r="P30" i="45"/>
  <c r="Q30" i="45" s="1"/>
  <c r="K30" i="45"/>
  <c r="U29" i="45"/>
  <c r="U40" i="45" s="1"/>
  <c r="Q29" i="45"/>
  <c r="P29" i="45"/>
  <c r="N29" i="45"/>
  <c r="N40" i="45" s="1"/>
  <c r="K29" i="45"/>
  <c r="R29" i="45" s="1"/>
  <c r="U26" i="45"/>
  <c r="T26" i="45"/>
  <c r="S26" i="45"/>
  <c r="O26" i="45"/>
  <c r="M26" i="45"/>
  <c r="L26" i="45"/>
  <c r="J26" i="45"/>
  <c r="I26" i="45"/>
  <c r="G26" i="45"/>
  <c r="E26" i="45"/>
  <c r="U25" i="45"/>
  <c r="Q25" i="45"/>
  <c r="P25" i="45"/>
  <c r="N25" i="45"/>
  <c r="K25" i="45"/>
  <c r="R25" i="45" s="1"/>
  <c r="U24" i="45"/>
  <c r="P24" i="45"/>
  <c r="N24" i="45"/>
  <c r="N26" i="45" s="1"/>
  <c r="K24" i="45"/>
  <c r="U23" i="45"/>
  <c r="R23" i="45"/>
  <c r="Q23" i="45"/>
  <c r="P23" i="45"/>
  <c r="K23" i="45"/>
  <c r="K26" i="45" s="1"/>
  <c r="T20" i="45"/>
  <c r="S20" i="45"/>
  <c r="O20" i="45"/>
  <c r="M20" i="45"/>
  <c r="L20" i="45"/>
  <c r="J20" i="45"/>
  <c r="I20" i="45"/>
  <c r="E20" i="45"/>
  <c r="U19" i="45"/>
  <c r="Q19" i="45"/>
  <c r="P19" i="45"/>
  <c r="N19" i="45"/>
  <c r="K19" i="45"/>
  <c r="R19" i="45" s="1"/>
  <c r="U18" i="45"/>
  <c r="P18" i="45"/>
  <c r="N18" i="45"/>
  <c r="Q18" i="45" s="1"/>
  <c r="K18" i="45"/>
  <c r="R18" i="45" s="1"/>
  <c r="U17" i="45"/>
  <c r="R17" i="45"/>
  <c r="Q17" i="45"/>
  <c r="P17" i="45"/>
  <c r="K17" i="45"/>
  <c r="U16" i="45"/>
  <c r="P16" i="45"/>
  <c r="N16" i="45"/>
  <c r="Q16" i="45" s="1"/>
  <c r="K16" i="45"/>
  <c r="U15" i="45"/>
  <c r="Q15" i="45"/>
  <c r="P15" i="45"/>
  <c r="N15" i="45"/>
  <c r="K15" i="45"/>
  <c r="R15" i="45" s="1"/>
  <c r="U14" i="45"/>
  <c r="R14" i="45"/>
  <c r="Q14" i="45"/>
  <c r="K14" i="45"/>
  <c r="U13" i="45"/>
  <c r="U20" i="45" s="1"/>
  <c r="Q13" i="45"/>
  <c r="P13" i="45"/>
  <c r="K13" i="45"/>
  <c r="R13" i="45" s="1"/>
  <c r="U12" i="45"/>
  <c r="P12" i="45"/>
  <c r="N12" i="45"/>
  <c r="N20" i="45" s="1"/>
  <c r="K12" i="45"/>
  <c r="T9" i="45"/>
  <c r="T52" i="45" s="1"/>
  <c r="S9" i="45"/>
  <c r="S52" i="45" s="1"/>
  <c r="O9" i="45"/>
  <c r="O52" i="45" s="1"/>
  <c r="M9" i="45"/>
  <c r="M52" i="45" s="1"/>
  <c r="L9" i="45"/>
  <c r="L52" i="45" s="1"/>
  <c r="J9" i="45"/>
  <c r="I9" i="45"/>
  <c r="G52" i="45"/>
  <c r="E9" i="45"/>
  <c r="E52" i="45" s="1"/>
  <c r="U8" i="45"/>
  <c r="Q8" i="45"/>
  <c r="P8" i="45"/>
  <c r="N8" i="45"/>
  <c r="K8" i="45"/>
  <c r="R8" i="45" s="1"/>
  <c r="U7" i="45"/>
  <c r="U9" i="45" s="1"/>
  <c r="U52" i="45" s="1"/>
  <c r="P7" i="45"/>
  <c r="N7" i="45"/>
  <c r="N9" i="45" s="1"/>
  <c r="N52" i="45" s="1"/>
  <c r="K7" i="45"/>
  <c r="K9" i="45" s="1"/>
  <c r="R52" i="46" l="1"/>
  <c r="I52" i="45"/>
  <c r="K20" i="45"/>
  <c r="Q40" i="45"/>
  <c r="R43" i="45"/>
  <c r="R16" i="45"/>
  <c r="R30" i="45"/>
  <c r="R32" i="45"/>
  <c r="R33" i="45"/>
  <c r="R35" i="45"/>
  <c r="K40" i="45"/>
  <c r="Q12" i="45"/>
  <c r="Q20" i="45" s="1"/>
  <c r="Q24" i="45"/>
  <c r="Q26" i="45" s="1"/>
  <c r="Q43" i="45"/>
  <c r="P44" i="45"/>
  <c r="Q44" i="45" s="1"/>
  <c r="R44" i="45" s="1"/>
  <c r="K45" i="45"/>
  <c r="R48" i="45"/>
  <c r="R49" i="45" s="1"/>
  <c r="Q7" i="45"/>
  <c r="Q9" i="45" s="1"/>
  <c r="R7" i="45"/>
  <c r="R9" i="45" s="1"/>
  <c r="K34" i="44"/>
  <c r="K33" i="44"/>
  <c r="Q34" i="44"/>
  <c r="R33" i="44"/>
  <c r="K52" i="45" l="1"/>
  <c r="R40" i="45"/>
  <c r="R45" i="45"/>
  <c r="R12" i="45"/>
  <c r="R20" i="45" s="1"/>
  <c r="Q52" i="45"/>
  <c r="Q45" i="45"/>
  <c r="R24" i="45"/>
  <c r="R26" i="45" s="1"/>
  <c r="R34" i="44"/>
  <c r="R52" i="45" l="1"/>
  <c r="T52" i="44"/>
  <c r="S52" i="44"/>
  <c r="I52" i="44"/>
  <c r="G52" i="44"/>
  <c r="K13" i="44" l="1"/>
  <c r="K14" i="44"/>
  <c r="U49" i="44"/>
  <c r="T49" i="44"/>
  <c r="S49" i="44"/>
  <c r="O49" i="44"/>
  <c r="M49" i="44"/>
  <c r="L49" i="44"/>
  <c r="J49" i="44"/>
  <c r="I49" i="44"/>
  <c r="G49" i="44"/>
  <c r="E49" i="44"/>
  <c r="U48" i="44"/>
  <c r="P48" i="44"/>
  <c r="P49" i="44" s="1"/>
  <c r="N48" i="44"/>
  <c r="N49" i="44" s="1"/>
  <c r="K48" i="44"/>
  <c r="K49" i="44" s="1"/>
  <c r="T45" i="44"/>
  <c r="S45" i="44"/>
  <c r="O45" i="44"/>
  <c r="N45" i="44"/>
  <c r="M45" i="44"/>
  <c r="L45" i="44"/>
  <c r="J45" i="44"/>
  <c r="I45" i="44"/>
  <c r="G45" i="44"/>
  <c r="E45" i="44"/>
  <c r="U44" i="44"/>
  <c r="K44" i="44"/>
  <c r="U43" i="44"/>
  <c r="U45" i="44" s="1"/>
  <c r="P43" i="44"/>
  <c r="K43" i="44"/>
  <c r="K45" i="44" s="1"/>
  <c r="T40" i="44"/>
  <c r="S40" i="44"/>
  <c r="O40" i="44"/>
  <c r="M40" i="44"/>
  <c r="L40" i="44"/>
  <c r="J40" i="44"/>
  <c r="I40" i="44"/>
  <c r="G40" i="44"/>
  <c r="E40" i="44"/>
  <c r="U39" i="44"/>
  <c r="P39" i="44"/>
  <c r="N39" i="44"/>
  <c r="Q39" i="44" s="1"/>
  <c r="K39" i="44"/>
  <c r="U38" i="44"/>
  <c r="P38" i="44"/>
  <c r="Q38" i="44" s="1"/>
  <c r="N38" i="44"/>
  <c r="K38" i="44"/>
  <c r="U37" i="44"/>
  <c r="P37" i="44"/>
  <c r="Q37" i="44" s="1"/>
  <c r="R37" i="44" s="1"/>
  <c r="K37" i="44"/>
  <c r="U36" i="44"/>
  <c r="Q36" i="44"/>
  <c r="P36" i="44"/>
  <c r="N36" i="44"/>
  <c r="K36" i="44"/>
  <c r="R36" i="44" s="1"/>
  <c r="U35" i="44"/>
  <c r="P35" i="44"/>
  <c r="N35" i="44"/>
  <c r="Q35" i="44" s="1"/>
  <c r="K35" i="44"/>
  <c r="U34" i="44"/>
  <c r="P34" i="44"/>
  <c r="N34" i="44"/>
  <c r="U33" i="44"/>
  <c r="Q33" i="44"/>
  <c r="P33" i="44"/>
  <c r="U32" i="44"/>
  <c r="P32" i="44"/>
  <c r="N32" i="44"/>
  <c r="Q32" i="44" s="1"/>
  <c r="K32" i="44"/>
  <c r="R32" i="44" s="1"/>
  <c r="U31" i="44"/>
  <c r="P31" i="44"/>
  <c r="N31" i="44"/>
  <c r="Q31" i="44" s="1"/>
  <c r="K31" i="44"/>
  <c r="R31" i="44" s="1"/>
  <c r="U30" i="44"/>
  <c r="P30" i="44"/>
  <c r="Q30" i="44" s="1"/>
  <c r="K30" i="44"/>
  <c r="U29" i="44"/>
  <c r="U40" i="44" s="1"/>
  <c r="Q29" i="44"/>
  <c r="P29" i="44"/>
  <c r="P40" i="44" s="1"/>
  <c r="N29" i="44"/>
  <c r="N40" i="44" s="1"/>
  <c r="K29" i="44"/>
  <c r="R29" i="44" s="1"/>
  <c r="U26" i="44"/>
  <c r="T26" i="44"/>
  <c r="S26" i="44"/>
  <c r="O26" i="44"/>
  <c r="M26" i="44"/>
  <c r="L26" i="44"/>
  <c r="J26" i="44"/>
  <c r="I26" i="44"/>
  <c r="G26" i="44"/>
  <c r="E26" i="44"/>
  <c r="U25" i="44"/>
  <c r="P25" i="44"/>
  <c r="Q25" i="44" s="1"/>
  <c r="N25" i="44"/>
  <c r="K25" i="44"/>
  <c r="R25" i="44" s="1"/>
  <c r="U24" i="44"/>
  <c r="P24" i="44"/>
  <c r="N24" i="44"/>
  <c r="N26" i="44" s="1"/>
  <c r="K24" i="44"/>
  <c r="U23" i="44"/>
  <c r="P23" i="44"/>
  <c r="P26" i="44" s="1"/>
  <c r="K23" i="44"/>
  <c r="T20" i="44"/>
  <c r="S20" i="44"/>
  <c r="O20" i="44"/>
  <c r="M20" i="44"/>
  <c r="L20" i="44"/>
  <c r="J20" i="44"/>
  <c r="I20" i="44"/>
  <c r="G20" i="44"/>
  <c r="E20" i="44"/>
  <c r="U19" i="44"/>
  <c r="P19" i="44"/>
  <c r="Q19" i="44" s="1"/>
  <c r="N19" i="44"/>
  <c r="K19" i="44"/>
  <c r="R19" i="44" s="1"/>
  <c r="U18" i="44"/>
  <c r="P18" i="44"/>
  <c r="N18" i="44"/>
  <c r="Q18" i="44" s="1"/>
  <c r="K18" i="44"/>
  <c r="U17" i="44"/>
  <c r="P17" i="44"/>
  <c r="Q17" i="44" s="1"/>
  <c r="R17" i="44" s="1"/>
  <c r="K17" i="44"/>
  <c r="U16" i="44"/>
  <c r="P16" i="44"/>
  <c r="N16" i="44"/>
  <c r="Q16" i="44" s="1"/>
  <c r="K16" i="44"/>
  <c r="R16" i="44" s="1"/>
  <c r="U15" i="44"/>
  <c r="Q15" i="44"/>
  <c r="P15" i="44"/>
  <c r="N15" i="44"/>
  <c r="K15" i="44"/>
  <c r="R15" i="44" s="1"/>
  <c r="U14" i="44"/>
  <c r="Q14" i="44"/>
  <c r="R14" i="44" s="1"/>
  <c r="U13" i="44"/>
  <c r="U20" i="44" s="1"/>
  <c r="Q13" i="44"/>
  <c r="P13" i="44"/>
  <c r="R13" i="44"/>
  <c r="U12" i="44"/>
  <c r="P12" i="44"/>
  <c r="P20" i="44" s="1"/>
  <c r="N12" i="44"/>
  <c r="N20" i="44" s="1"/>
  <c r="K12" i="44"/>
  <c r="K20" i="44" s="1"/>
  <c r="T9" i="44"/>
  <c r="S9" i="44"/>
  <c r="P9" i="44"/>
  <c r="O9" i="44"/>
  <c r="O52" i="44" s="1"/>
  <c r="M9" i="44"/>
  <c r="M52" i="44" s="1"/>
  <c r="L9" i="44"/>
  <c r="L52" i="44" s="1"/>
  <c r="J9" i="44"/>
  <c r="J52" i="44" s="1"/>
  <c r="I9" i="44"/>
  <c r="G9" i="44"/>
  <c r="E9" i="44"/>
  <c r="E52" i="44" s="1"/>
  <c r="U8" i="44"/>
  <c r="Q8" i="44"/>
  <c r="P8" i="44"/>
  <c r="N8" i="44"/>
  <c r="K8" i="44"/>
  <c r="R8" i="44" s="1"/>
  <c r="U7" i="44"/>
  <c r="U9" i="44" s="1"/>
  <c r="U52" i="44" s="1"/>
  <c r="P7" i="44"/>
  <c r="N7" i="44"/>
  <c r="Q7" i="44" s="1"/>
  <c r="Q9" i="44" s="1"/>
  <c r="K7" i="44"/>
  <c r="K9" i="44" s="1"/>
  <c r="Q40" i="44" l="1"/>
  <c r="R30" i="44"/>
  <c r="K26" i="44"/>
  <c r="R35" i="44"/>
  <c r="R38" i="44"/>
  <c r="R39" i="44"/>
  <c r="R18" i="44"/>
  <c r="K40" i="44"/>
  <c r="K52" i="44" s="1"/>
  <c r="R48" i="44"/>
  <c r="R49" i="44" s="1"/>
  <c r="Q12" i="44"/>
  <c r="Q20" i="44" s="1"/>
  <c r="Q24" i="44"/>
  <c r="Q43" i="44"/>
  <c r="P44" i="44"/>
  <c r="Q44" i="44" s="1"/>
  <c r="R44" i="44" s="1"/>
  <c r="N9" i="44"/>
  <c r="N52" i="44" s="1"/>
  <c r="R24" i="44"/>
  <c r="R7" i="44"/>
  <c r="R9" i="44" s="1"/>
  <c r="Q23" i="44"/>
  <c r="Q48" i="44"/>
  <c r="Q49" i="44" s="1"/>
  <c r="I52" i="43"/>
  <c r="R40" i="44" l="1"/>
  <c r="R52" i="44" s="1"/>
  <c r="P45" i="44"/>
  <c r="P52" i="44" s="1"/>
  <c r="R12" i="44"/>
  <c r="R20" i="44" s="1"/>
  <c r="Q45" i="44"/>
  <c r="R43" i="44"/>
  <c r="R45" i="44" s="1"/>
  <c r="Q26" i="44"/>
  <c r="Q52" i="44" s="1"/>
  <c r="R23" i="44"/>
  <c r="R26" i="44" s="1"/>
  <c r="N23" i="30"/>
  <c r="H23" i="30"/>
  <c r="P23" i="43"/>
  <c r="K23" i="43" l="1"/>
  <c r="Q23" i="43"/>
  <c r="R14" i="43"/>
  <c r="N8" i="43"/>
  <c r="P8" i="43"/>
  <c r="R23" i="43" l="1"/>
  <c r="K43" i="43"/>
  <c r="K35" i="43"/>
  <c r="Q35" i="43"/>
  <c r="U49" i="43"/>
  <c r="T49" i="43"/>
  <c r="S49" i="43"/>
  <c r="Q49" i="43"/>
  <c r="O49" i="43"/>
  <c r="M49" i="43"/>
  <c r="L49" i="43"/>
  <c r="J49" i="43"/>
  <c r="I49" i="43"/>
  <c r="G49" i="43"/>
  <c r="E49" i="43"/>
  <c r="U48" i="43"/>
  <c r="Q48" i="43"/>
  <c r="P48" i="43"/>
  <c r="P49" i="43" s="1"/>
  <c r="N48" i="43"/>
  <c r="N49" i="43" s="1"/>
  <c r="K48" i="43"/>
  <c r="R48" i="43" s="1"/>
  <c r="R49" i="43" s="1"/>
  <c r="T45" i="43"/>
  <c r="S45" i="43"/>
  <c r="O45" i="43"/>
  <c r="N45" i="43"/>
  <c r="M45" i="43"/>
  <c r="L45" i="43"/>
  <c r="J45" i="43"/>
  <c r="J52" i="43" s="1"/>
  <c r="I45" i="43"/>
  <c r="G45" i="43"/>
  <c r="E45" i="43"/>
  <c r="U44" i="43"/>
  <c r="K44" i="43"/>
  <c r="U43" i="43"/>
  <c r="U45" i="43" s="1"/>
  <c r="P43" i="43"/>
  <c r="T40" i="43"/>
  <c r="S40" i="43"/>
  <c r="O40" i="43"/>
  <c r="M40" i="43"/>
  <c r="L40" i="43"/>
  <c r="J40" i="43"/>
  <c r="I40" i="43"/>
  <c r="G40" i="43"/>
  <c r="E40" i="43"/>
  <c r="U39" i="43"/>
  <c r="P39" i="43"/>
  <c r="Q39" i="43" s="1"/>
  <c r="N39" i="43"/>
  <c r="K39" i="43"/>
  <c r="R39" i="43" s="1"/>
  <c r="U38" i="43"/>
  <c r="P38" i="43"/>
  <c r="N38" i="43"/>
  <c r="Q38" i="43" s="1"/>
  <c r="K38" i="43"/>
  <c r="R38" i="43" s="1"/>
  <c r="U37" i="43"/>
  <c r="P37" i="43"/>
  <c r="Q37" i="43" s="1"/>
  <c r="R37" i="43" s="1"/>
  <c r="K37" i="43"/>
  <c r="U36" i="43"/>
  <c r="Q36" i="43"/>
  <c r="P36" i="43"/>
  <c r="N36" i="43"/>
  <c r="K36" i="43"/>
  <c r="R36" i="43" s="1"/>
  <c r="U35" i="43"/>
  <c r="P35" i="43"/>
  <c r="N35" i="43"/>
  <c r="R35" i="43"/>
  <c r="U34" i="43"/>
  <c r="Q34" i="43"/>
  <c r="P34" i="43"/>
  <c r="N34" i="43"/>
  <c r="K34" i="43"/>
  <c r="R34" i="43" s="1"/>
  <c r="U33" i="43"/>
  <c r="Q33" i="43"/>
  <c r="P33" i="43"/>
  <c r="K33" i="43"/>
  <c r="R33" i="43" s="1"/>
  <c r="U32" i="43"/>
  <c r="P32" i="43"/>
  <c r="N32" i="43"/>
  <c r="Q32" i="43" s="1"/>
  <c r="K32" i="43"/>
  <c r="U31" i="43"/>
  <c r="P31" i="43"/>
  <c r="N31" i="43"/>
  <c r="Q31" i="43" s="1"/>
  <c r="K31" i="43"/>
  <c r="U30" i="43"/>
  <c r="P30" i="43"/>
  <c r="Q30" i="43" s="1"/>
  <c r="K30" i="43"/>
  <c r="U29" i="43"/>
  <c r="U40" i="43" s="1"/>
  <c r="Q29" i="43"/>
  <c r="P29" i="43"/>
  <c r="P40" i="43" s="1"/>
  <c r="N29" i="43"/>
  <c r="N40" i="43" s="1"/>
  <c r="K29" i="43"/>
  <c r="R29" i="43" s="1"/>
  <c r="U26" i="43"/>
  <c r="T26" i="43"/>
  <c r="S26" i="43"/>
  <c r="O26" i="43"/>
  <c r="M26" i="43"/>
  <c r="L26" i="43"/>
  <c r="J26" i="43"/>
  <c r="I26" i="43"/>
  <c r="G26" i="43"/>
  <c r="E26" i="43"/>
  <c r="U25" i="43"/>
  <c r="P25" i="43"/>
  <c r="Q25" i="43" s="1"/>
  <c r="N25" i="43"/>
  <c r="K25" i="43"/>
  <c r="R25" i="43" s="1"/>
  <c r="U24" i="43"/>
  <c r="P24" i="43"/>
  <c r="N24" i="43"/>
  <c r="N26" i="43" s="1"/>
  <c r="K24" i="43"/>
  <c r="U23" i="43"/>
  <c r="P26" i="43"/>
  <c r="T20" i="43"/>
  <c r="S20" i="43"/>
  <c r="O20" i="43"/>
  <c r="M20" i="43"/>
  <c r="L20" i="43"/>
  <c r="J20" i="43"/>
  <c r="I20" i="43"/>
  <c r="G20" i="43"/>
  <c r="E20" i="43"/>
  <c r="U19" i="43"/>
  <c r="P19" i="43"/>
  <c r="Q19" i="43" s="1"/>
  <c r="N19" i="43"/>
  <c r="K19" i="43"/>
  <c r="R19" i="43" s="1"/>
  <c r="U18" i="43"/>
  <c r="P18" i="43"/>
  <c r="N18" i="43"/>
  <c r="Q18" i="43" s="1"/>
  <c r="K18" i="43"/>
  <c r="R18" i="43" s="1"/>
  <c r="U17" i="43"/>
  <c r="P17" i="43"/>
  <c r="Q17" i="43" s="1"/>
  <c r="R17" i="43" s="1"/>
  <c r="K17" i="43"/>
  <c r="U16" i="43"/>
  <c r="P16" i="43"/>
  <c r="N16" i="43"/>
  <c r="Q16" i="43" s="1"/>
  <c r="K16" i="43"/>
  <c r="U15" i="43"/>
  <c r="Q15" i="43"/>
  <c r="P15" i="43"/>
  <c r="N15" i="43"/>
  <c r="K15" i="43"/>
  <c r="R15" i="43" s="1"/>
  <c r="U14" i="43"/>
  <c r="Q14" i="43"/>
  <c r="K14" i="43"/>
  <c r="U13" i="43"/>
  <c r="U20" i="43" s="1"/>
  <c r="P13" i="43"/>
  <c r="Q13" i="43" s="1"/>
  <c r="K13" i="43"/>
  <c r="U12" i="43"/>
  <c r="P12" i="43"/>
  <c r="P20" i="43" s="1"/>
  <c r="N12" i="43"/>
  <c r="N20" i="43" s="1"/>
  <c r="K12" i="43"/>
  <c r="T9" i="43"/>
  <c r="T52" i="43" s="1"/>
  <c r="S9" i="43"/>
  <c r="S52" i="43" s="1"/>
  <c r="P9" i="43"/>
  <c r="O9" i="43"/>
  <c r="O52" i="43" s="1"/>
  <c r="M9" i="43"/>
  <c r="M52" i="43" s="1"/>
  <c r="L9" i="43"/>
  <c r="L52" i="43" s="1"/>
  <c r="J9" i="43"/>
  <c r="I9" i="43"/>
  <c r="G9" i="43"/>
  <c r="E9" i="43"/>
  <c r="E52" i="43" s="1"/>
  <c r="U8" i="43"/>
  <c r="Q8" i="43"/>
  <c r="K8" i="43"/>
  <c r="R8" i="43" s="1"/>
  <c r="U7" i="43"/>
  <c r="U9" i="43" s="1"/>
  <c r="P7" i="43"/>
  <c r="N7" i="43"/>
  <c r="N9" i="43" s="1"/>
  <c r="K7" i="43"/>
  <c r="K9" i="43" s="1"/>
  <c r="G52" i="43" l="1"/>
  <c r="R30" i="43"/>
  <c r="K26" i="43"/>
  <c r="K20" i="43"/>
  <c r="N52" i="43"/>
  <c r="R16" i="43"/>
  <c r="Q40" i="43"/>
  <c r="P45" i="43"/>
  <c r="P52" i="43"/>
  <c r="U52" i="43"/>
  <c r="R13" i="43"/>
  <c r="R40" i="43"/>
  <c r="R31" i="43"/>
  <c r="R32" i="43"/>
  <c r="Q24" i="43"/>
  <c r="R24" i="43" s="1"/>
  <c r="Q43" i="43"/>
  <c r="Q45" i="43" s="1"/>
  <c r="P44" i="43"/>
  <c r="Q44" i="43" s="1"/>
  <c r="R44" i="43" s="1"/>
  <c r="K45" i="43"/>
  <c r="K40" i="43"/>
  <c r="Q7" i="43"/>
  <c r="Q9" i="43" s="1"/>
  <c r="K49" i="43"/>
  <c r="Q12" i="43"/>
  <c r="Q20" i="43" s="1"/>
  <c r="N35" i="41"/>
  <c r="K52" i="43" l="1"/>
  <c r="R7" i="43"/>
  <c r="R9" i="43" s="1"/>
  <c r="R43" i="43"/>
  <c r="R45" i="43" s="1"/>
  <c r="Q26" i="43"/>
  <c r="Q52" i="43" s="1"/>
  <c r="R26" i="43"/>
  <c r="R12" i="43"/>
  <c r="R20" i="43" s="1"/>
  <c r="K34" i="41"/>
  <c r="K33" i="41"/>
  <c r="K14" i="41"/>
  <c r="R52" i="43" l="1"/>
  <c r="G52" i="41"/>
  <c r="G49" i="41"/>
  <c r="G45" i="41"/>
  <c r="G40" i="41"/>
  <c r="G26" i="41"/>
  <c r="G20" i="41"/>
  <c r="G9" i="41"/>
  <c r="K35" i="41" l="1"/>
  <c r="Q35" i="41"/>
  <c r="R35" i="41" s="1"/>
  <c r="Q37" i="41"/>
  <c r="Q14" i="41"/>
  <c r="Q12" i="41"/>
  <c r="Q7" i="41"/>
  <c r="Q8" i="41"/>
  <c r="T49" i="41" l="1"/>
  <c r="S49" i="41"/>
  <c r="O49" i="41"/>
  <c r="M49" i="41"/>
  <c r="L49" i="41"/>
  <c r="J49" i="41"/>
  <c r="I49" i="41"/>
  <c r="E49" i="41"/>
  <c r="U48" i="41"/>
  <c r="U49" i="41" s="1"/>
  <c r="P48" i="41"/>
  <c r="P49" i="41" s="1"/>
  <c r="N48" i="41"/>
  <c r="N49" i="41" s="1"/>
  <c r="K48" i="41"/>
  <c r="T45" i="41"/>
  <c r="S45" i="41"/>
  <c r="O45" i="41"/>
  <c r="N45" i="41"/>
  <c r="M45" i="41"/>
  <c r="L45" i="41"/>
  <c r="J45" i="41"/>
  <c r="I45" i="41"/>
  <c r="E45" i="41"/>
  <c r="U44" i="41"/>
  <c r="K44" i="41"/>
  <c r="U43" i="41"/>
  <c r="U45" i="41" s="1"/>
  <c r="P43" i="41"/>
  <c r="K43" i="41"/>
  <c r="T40" i="41"/>
  <c r="S40" i="41"/>
  <c r="O40" i="41"/>
  <c r="M40" i="41"/>
  <c r="L40" i="41"/>
  <c r="J40" i="41"/>
  <c r="I40" i="41"/>
  <c r="E40" i="41"/>
  <c r="U39" i="41"/>
  <c r="P39" i="41"/>
  <c r="N39" i="41"/>
  <c r="Q39" i="41" s="1"/>
  <c r="K39" i="41"/>
  <c r="R39" i="41" s="1"/>
  <c r="U38" i="41"/>
  <c r="Q38" i="41"/>
  <c r="P38" i="41"/>
  <c r="N38" i="41"/>
  <c r="K38" i="41"/>
  <c r="R38" i="41" s="1"/>
  <c r="U37" i="41"/>
  <c r="P37" i="41"/>
  <c r="K37" i="41"/>
  <c r="R37" i="41" s="1"/>
  <c r="U36" i="41"/>
  <c r="P36" i="41"/>
  <c r="N36" i="41"/>
  <c r="Q36" i="41" s="1"/>
  <c r="K36" i="41"/>
  <c r="U35" i="41"/>
  <c r="P35" i="41"/>
  <c r="U34" i="41"/>
  <c r="P34" i="41"/>
  <c r="N34" i="41"/>
  <c r="Q34" i="41" s="1"/>
  <c r="U33" i="41"/>
  <c r="P33" i="41"/>
  <c r="Q33" i="41" s="1"/>
  <c r="R33" i="41"/>
  <c r="U32" i="41"/>
  <c r="Q32" i="41"/>
  <c r="P32" i="41"/>
  <c r="N32" i="41"/>
  <c r="K32" i="41"/>
  <c r="R32" i="41" s="1"/>
  <c r="U31" i="41"/>
  <c r="P31" i="41"/>
  <c r="N31" i="41"/>
  <c r="Q31" i="41" s="1"/>
  <c r="K31" i="41"/>
  <c r="U30" i="41"/>
  <c r="Q30" i="41"/>
  <c r="R30" i="41" s="1"/>
  <c r="P30" i="41"/>
  <c r="K30" i="41"/>
  <c r="U29" i="41"/>
  <c r="U40" i="41" s="1"/>
  <c r="P29" i="41"/>
  <c r="P40" i="41" s="1"/>
  <c r="N29" i="41"/>
  <c r="N40" i="41" s="1"/>
  <c r="K29" i="41"/>
  <c r="T26" i="41"/>
  <c r="S26" i="41"/>
  <c r="O26" i="41"/>
  <c r="N26" i="41"/>
  <c r="M26" i="41"/>
  <c r="L26" i="41"/>
  <c r="J26" i="41"/>
  <c r="I26" i="41"/>
  <c r="E26" i="41"/>
  <c r="U25" i="41"/>
  <c r="P25" i="41"/>
  <c r="N25" i="41"/>
  <c r="Q25" i="41" s="1"/>
  <c r="K25" i="41"/>
  <c r="R25" i="41" s="1"/>
  <c r="U24" i="41"/>
  <c r="P24" i="41"/>
  <c r="Q24" i="41" s="1"/>
  <c r="N24" i="41"/>
  <c r="K24" i="41"/>
  <c r="R24" i="41" s="1"/>
  <c r="U23" i="41"/>
  <c r="U26" i="41" s="1"/>
  <c r="R23" i="41"/>
  <c r="Q23" i="41"/>
  <c r="P23" i="41"/>
  <c r="P26" i="41" s="1"/>
  <c r="K23" i="41"/>
  <c r="K26" i="41" s="1"/>
  <c r="T20" i="41"/>
  <c r="S20" i="41"/>
  <c r="O20" i="41"/>
  <c r="M20" i="41"/>
  <c r="L20" i="41"/>
  <c r="J20" i="41"/>
  <c r="I20" i="41"/>
  <c r="E20" i="41"/>
  <c r="U19" i="41"/>
  <c r="Q19" i="41"/>
  <c r="P19" i="41"/>
  <c r="N19" i="41"/>
  <c r="K19" i="41"/>
  <c r="U18" i="41"/>
  <c r="P18" i="41"/>
  <c r="N18" i="41"/>
  <c r="Q18" i="41" s="1"/>
  <c r="K18" i="41"/>
  <c r="R18" i="41" s="1"/>
  <c r="U17" i="41"/>
  <c r="Q17" i="41"/>
  <c r="R17" i="41" s="1"/>
  <c r="P17" i="41"/>
  <c r="K17" i="41"/>
  <c r="U16" i="41"/>
  <c r="P16" i="41"/>
  <c r="N16" i="41"/>
  <c r="Q16" i="41" s="1"/>
  <c r="K16" i="41"/>
  <c r="R16" i="41" s="1"/>
  <c r="U15" i="41"/>
  <c r="P15" i="41"/>
  <c r="Q15" i="41" s="1"/>
  <c r="N15" i="41"/>
  <c r="K15" i="41"/>
  <c r="U14" i="41"/>
  <c r="R14" i="41"/>
  <c r="U13" i="41"/>
  <c r="P13" i="41"/>
  <c r="Q13" i="41" s="1"/>
  <c r="K13" i="41"/>
  <c r="R13" i="41" s="1"/>
  <c r="U12" i="41"/>
  <c r="P12" i="41"/>
  <c r="P20" i="41" s="1"/>
  <c r="N12" i="41"/>
  <c r="K12" i="41"/>
  <c r="K20" i="41" s="1"/>
  <c r="T9" i="41"/>
  <c r="S9" i="41"/>
  <c r="S52" i="41" s="1"/>
  <c r="O9" i="41"/>
  <c r="O52" i="41" s="1"/>
  <c r="M9" i="41"/>
  <c r="L9" i="41"/>
  <c r="L52" i="41" s="1"/>
  <c r="J9" i="41"/>
  <c r="J52" i="41" s="1"/>
  <c r="I9" i="41"/>
  <c r="E9" i="41"/>
  <c r="E52" i="41" s="1"/>
  <c r="U8" i="41"/>
  <c r="P8" i="41"/>
  <c r="N8" i="41"/>
  <c r="K8" i="41"/>
  <c r="U7" i="41"/>
  <c r="U9" i="41" s="1"/>
  <c r="P7" i="41"/>
  <c r="N7" i="41"/>
  <c r="K7" i="41"/>
  <c r="K9" i="41" s="1"/>
  <c r="M52" i="41" l="1"/>
  <c r="U20" i="41"/>
  <c r="U52" i="41" s="1"/>
  <c r="T52" i="41"/>
  <c r="R19" i="41"/>
  <c r="R7" i="41"/>
  <c r="I52" i="41"/>
  <c r="Q26" i="41"/>
  <c r="R29" i="41"/>
  <c r="R31" i="41"/>
  <c r="R34" i="41"/>
  <c r="R36" i="41"/>
  <c r="R44" i="41"/>
  <c r="R15" i="41"/>
  <c r="R26" i="41"/>
  <c r="R8" i="41"/>
  <c r="Q9" i="41"/>
  <c r="P9" i="41"/>
  <c r="Q20" i="41"/>
  <c r="N20" i="41"/>
  <c r="K40" i="41"/>
  <c r="K45" i="41"/>
  <c r="K49" i="41"/>
  <c r="N9" i="41"/>
  <c r="N52" i="41" s="1"/>
  <c r="R12" i="41"/>
  <c r="Q43" i="41"/>
  <c r="Q45" i="41" s="1"/>
  <c r="P44" i="41"/>
  <c r="Q44" i="41" s="1"/>
  <c r="Q29" i="41"/>
  <c r="Q40" i="41" s="1"/>
  <c r="Q48" i="41"/>
  <c r="Q49" i="41" s="1"/>
  <c r="O43" i="40"/>
  <c r="O29" i="40"/>
  <c r="J43" i="40"/>
  <c r="J34" i="40"/>
  <c r="O44" i="40"/>
  <c r="O34" i="40"/>
  <c r="R9" i="41" l="1"/>
  <c r="K52" i="41"/>
  <c r="R40" i="41"/>
  <c r="R43" i="41"/>
  <c r="R45" i="41" s="1"/>
  <c r="R20" i="41"/>
  <c r="P45" i="41"/>
  <c r="P52" i="41" s="1"/>
  <c r="Q52" i="41"/>
  <c r="R48" i="41"/>
  <c r="R49" i="41" s="1"/>
  <c r="P7" i="40"/>
  <c r="Q7" i="40" s="1"/>
  <c r="P48" i="40"/>
  <c r="P44" i="40"/>
  <c r="P43" i="40"/>
  <c r="P39" i="40"/>
  <c r="P38" i="40"/>
  <c r="P37" i="40"/>
  <c r="P36" i="40"/>
  <c r="P35" i="40"/>
  <c r="P34" i="40"/>
  <c r="P33" i="40"/>
  <c r="P32" i="40"/>
  <c r="P31" i="40"/>
  <c r="P30" i="40"/>
  <c r="P29" i="40"/>
  <c r="P25" i="40"/>
  <c r="P24" i="40"/>
  <c r="P23" i="40"/>
  <c r="P19" i="40"/>
  <c r="P18" i="40"/>
  <c r="P17" i="40"/>
  <c r="P16" i="40"/>
  <c r="P15" i="40"/>
  <c r="P14" i="40"/>
  <c r="P13" i="40"/>
  <c r="P12" i="40"/>
  <c r="P8" i="40"/>
  <c r="R52" i="41" l="1"/>
  <c r="O14" i="18"/>
  <c r="O13" i="18"/>
  <c r="O12" i="18"/>
  <c r="O11" i="18"/>
  <c r="N16" i="18"/>
  <c r="N13" i="18"/>
  <c r="N12" i="18"/>
  <c r="N11" i="18"/>
  <c r="N7" i="18"/>
  <c r="N6" i="18"/>
  <c r="N5" i="18"/>
  <c r="O12" i="40" l="1"/>
  <c r="T14" i="40"/>
  <c r="O14" i="40"/>
  <c r="J14" i="40"/>
  <c r="J15" i="40"/>
  <c r="M15" i="40"/>
  <c r="O15" i="40"/>
  <c r="Q15" i="40"/>
  <c r="T15" i="40"/>
  <c r="O48" i="40"/>
  <c r="O39" i="40"/>
  <c r="O38" i="40"/>
  <c r="O37" i="40"/>
  <c r="O36" i="40"/>
  <c r="O35" i="40"/>
  <c r="O33" i="40"/>
  <c r="O32" i="40"/>
  <c r="O31" i="40"/>
  <c r="O30" i="40"/>
  <c r="O25" i="40"/>
  <c r="O24" i="40"/>
  <c r="O23" i="40"/>
  <c r="O19" i="40"/>
  <c r="O18" i="40"/>
  <c r="O17" i="40"/>
  <c r="O16" i="40"/>
  <c r="O13" i="40"/>
  <c r="O8" i="40"/>
  <c r="O7" i="40"/>
  <c r="M7" i="40"/>
  <c r="S49" i="40"/>
  <c r="R49" i="40"/>
  <c r="N49" i="40"/>
  <c r="L49" i="40"/>
  <c r="K49" i="40"/>
  <c r="I49" i="40"/>
  <c r="H49" i="40"/>
  <c r="E49" i="40"/>
  <c r="T48" i="40"/>
  <c r="T49" i="40" s="1"/>
  <c r="P49" i="40"/>
  <c r="M48" i="40"/>
  <c r="M49" i="40" s="1"/>
  <c r="J48" i="40"/>
  <c r="J49" i="40" s="1"/>
  <c r="S45" i="40"/>
  <c r="R45" i="40"/>
  <c r="N45" i="40"/>
  <c r="M45" i="40"/>
  <c r="L45" i="40"/>
  <c r="K45" i="40"/>
  <c r="I45" i="40"/>
  <c r="H45" i="40"/>
  <c r="E45" i="40"/>
  <c r="T44" i="40"/>
  <c r="Q44" i="40"/>
  <c r="J44" i="40"/>
  <c r="T43" i="40"/>
  <c r="T45" i="40" s="1"/>
  <c r="J45" i="40"/>
  <c r="S40" i="40"/>
  <c r="R40" i="40"/>
  <c r="N40" i="40"/>
  <c r="L40" i="40"/>
  <c r="K40" i="40"/>
  <c r="I40" i="40"/>
  <c r="H40" i="40"/>
  <c r="E40" i="40"/>
  <c r="T39" i="40"/>
  <c r="M39" i="40"/>
  <c r="J39" i="40"/>
  <c r="T38" i="40"/>
  <c r="M38" i="40"/>
  <c r="J38" i="40"/>
  <c r="T37" i="40"/>
  <c r="Q37" i="40"/>
  <c r="J37" i="40"/>
  <c r="T36" i="40"/>
  <c r="M36" i="40"/>
  <c r="J36" i="40"/>
  <c r="T35" i="40"/>
  <c r="J35" i="40"/>
  <c r="T34" i="40"/>
  <c r="M34" i="40"/>
  <c r="T33" i="40"/>
  <c r="J33" i="40"/>
  <c r="T32" i="40"/>
  <c r="M32" i="40"/>
  <c r="J32" i="40"/>
  <c r="T31" i="40"/>
  <c r="M31" i="40"/>
  <c r="J31" i="40"/>
  <c r="T30" i="40"/>
  <c r="J30" i="40"/>
  <c r="T29" i="40"/>
  <c r="T40" i="40" s="1"/>
  <c r="M29" i="40"/>
  <c r="M40" i="40" s="1"/>
  <c r="J29" i="40"/>
  <c r="S26" i="40"/>
  <c r="R26" i="40"/>
  <c r="N26" i="40"/>
  <c r="M26" i="40"/>
  <c r="L26" i="40"/>
  <c r="K26" i="40"/>
  <c r="I26" i="40"/>
  <c r="H26" i="40"/>
  <c r="E26" i="40"/>
  <c r="T25" i="40"/>
  <c r="M25" i="40"/>
  <c r="J25" i="40"/>
  <c r="Q25" i="40" s="1"/>
  <c r="T24" i="40"/>
  <c r="M24" i="40"/>
  <c r="J24" i="40"/>
  <c r="T23" i="40"/>
  <c r="T26" i="40" s="1"/>
  <c r="J23" i="40"/>
  <c r="J26" i="40" s="1"/>
  <c r="S20" i="40"/>
  <c r="R20" i="40"/>
  <c r="N20" i="40"/>
  <c r="L20" i="40"/>
  <c r="K20" i="40"/>
  <c r="I20" i="40"/>
  <c r="I52" i="40" s="1"/>
  <c r="H20" i="40"/>
  <c r="E20" i="40"/>
  <c r="T19" i="40"/>
  <c r="M19" i="40"/>
  <c r="J19" i="40"/>
  <c r="Q19" i="40" s="1"/>
  <c r="T18" i="40"/>
  <c r="M18" i="40"/>
  <c r="J18" i="40"/>
  <c r="T17" i="40"/>
  <c r="J17" i="40"/>
  <c r="T16" i="40"/>
  <c r="M16" i="40"/>
  <c r="J16" i="40"/>
  <c r="T13" i="40"/>
  <c r="J13" i="40"/>
  <c r="T12" i="40"/>
  <c r="T20" i="40" s="1"/>
  <c r="M12" i="40"/>
  <c r="M20" i="40" s="1"/>
  <c r="J12" i="40"/>
  <c r="S9" i="40"/>
  <c r="S52" i="40" s="1"/>
  <c r="R9" i="40"/>
  <c r="N9" i="40"/>
  <c r="N52" i="40" s="1"/>
  <c r="L9" i="40"/>
  <c r="K9" i="40"/>
  <c r="K52" i="40" s="1"/>
  <c r="I9" i="40"/>
  <c r="H9" i="40"/>
  <c r="E9" i="40"/>
  <c r="E52" i="40" s="1"/>
  <c r="T8" i="40"/>
  <c r="M8" i="40"/>
  <c r="J8" i="40"/>
  <c r="T7" i="40"/>
  <c r="T9" i="40" s="1"/>
  <c r="J7" i="40"/>
  <c r="L52" i="40" l="1"/>
  <c r="J20" i="40"/>
  <c r="J9" i="40"/>
  <c r="Q14" i="40"/>
  <c r="O20" i="40"/>
  <c r="Q13" i="40"/>
  <c r="R52" i="40"/>
  <c r="Q33" i="40"/>
  <c r="H52" i="40"/>
  <c r="J40" i="40"/>
  <c r="Q39" i="40"/>
  <c r="Q38" i="40"/>
  <c r="Q36" i="40"/>
  <c r="Q35" i="40"/>
  <c r="Q34" i="40"/>
  <c r="Q32" i="40"/>
  <c r="Q31" i="40"/>
  <c r="O40" i="40"/>
  <c r="Q30" i="40"/>
  <c r="Q24" i="40"/>
  <c r="O26" i="40"/>
  <c r="Q18" i="40"/>
  <c r="Q17" i="40"/>
  <c r="Q16" i="40"/>
  <c r="Q12" i="40"/>
  <c r="Q8" i="40"/>
  <c r="P9" i="40"/>
  <c r="O9" i="40"/>
  <c r="T52" i="40"/>
  <c r="P20" i="40"/>
  <c r="O49" i="40"/>
  <c r="M9" i="40"/>
  <c r="M52" i="40" s="1"/>
  <c r="P40" i="40"/>
  <c r="Q48" i="40"/>
  <c r="Q49" i="40" s="1"/>
  <c r="E6" i="27"/>
  <c r="J52" i="40" l="1"/>
  <c r="Q9" i="40"/>
  <c r="Q29" i="40"/>
  <c r="Q40" i="40" s="1"/>
  <c r="Q20" i="40"/>
  <c r="O45" i="40"/>
  <c r="O52" i="40" s="1"/>
  <c r="Q23" i="40"/>
  <c r="Q26" i="40" s="1"/>
  <c r="P26" i="40"/>
  <c r="L7" i="35"/>
  <c r="P45" i="40" l="1"/>
  <c r="P52" i="40" s="1"/>
  <c r="Q43" i="40"/>
  <c r="Q45" i="40" s="1"/>
  <c r="Q52" i="40" s="1"/>
  <c r="N22" i="35"/>
  <c r="N12" i="34"/>
  <c r="N8" i="34"/>
  <c r="L8" i="34"/>
  <c r="N7" i="34"/>
  <c r="L7" i="34"/>
  <c r="N7" i="35" l="1"/>
  <c r="I7" i="35" l="1"/>
  <c r="R48" i="35" l="1"/>
  <c r="Q48" i="35"/>
  <c r="M48" i="35"/>
  <c r="K48" i="35"/>
  <c r="J48" i="35"/>
  <c r="H48" i="35"/>
  <c r="G48" i="35"/>
  <c r="E48" i="35"/>
  <c r="S47" i="35"/>
  <c r="S48" i="35" s="1"/>
  <c r="N47" i="35"/>
  <c r="N48" i="35" s="1"/>
  <c r="L47" i="35"/>
  <c r="L48" i="35" s="1"/>
  <c r="I47" i="35"/>
  <c r="I48" i="35" s="1"/>
  <c r="R44" i="35"/>
  <c r="Q44" i="35"/>
  <c r="M44" i="35"/>
  <c r="L44" i="35"/>
  <c r="K44" i="35"/>
  <c r="J44" i="35"/>
  <c r="H44" i="35"/>
  <c r="G44" i="35"/>
  <c r="E44" i="35"/>
  <c r="S43" i="35"/>
  <c r="I43" i="35"/>
  <c r="N43" i="35" s="1"/>
  <c r="O43" i="35" s="1"/>
  <c r="S42" i="35"/>
  <c r="S44" i="35" s="1"/>
  <c r="I42" i="35"/>
  <c r="R39" i="35"/>
  <c r="Q39" i="35"/>
  <c r="M39" i="35"/>
  <c r="K39" i="35"/>
  <c r="J39" i="35"/>
  <c r="H39" i="35"/>
  <c r="G39" i="35"/>
  <c r="E39" i="35"/>
  <c r="S38" i="35"/>
  <c r="N38" i="35"/>
  <c r="L38" i="35"/>
  <c r="O38" i="35" s="1"/>
  <c r="I38" i="35"/>
  <c r="S37" i="35"/>
  <c r="N37" i="35"/>
  <c r="L37" i="35"/>
  <c r="O37" i="35" s="1"/>
  <c r="I37" i="35"/>
  <c r="S36" i="35"/>
  <c r="N36" i="35"/>
  <c r="O36" i="35" s="1"/>
  <c r="I36" i="35"/>
  <c r="S35" i="35"/>
  <c r="N35" i="35"/>
  <c r="L35" i="35"/>
  <c r="I35" i="35"/>
  <c r="S34" i="35"/>
  <c r="N34" i="35"/>
  <c r="O34" i="35" s="1"/>
  <c r="I34" i="35"/>
  <c r="S33" i="35"/>
  <c r="N33" i="35"/>
  <c r="L33" i="35"/>
  <c r="I33" i="35"/>
  <c r="S32" i="35"/>
  <c r="N32" i="35"/>
  <c r="O32" i="35" s="1"/>
  <c r="I32" i="35"/>
  <c r="S31" i="35"/>
  <c r="N31" i="35"/>
  <c r="L31" i="35"/>
  <c r="I31" i="35"/>
  <c r="S30" i="35"/>
  <c r="N30" i="35"/>
  <c r="L30" i="35"/>
  <c r="I30" i="35"/>
  <c r="S29" i="35"/>
  <c r="N29" i="35"/>
  <c r="O29" i="35" s="1"/>
  <c r="I29" i="35"/>
  <c r="S28" i="35"/>
  <c r="N28" i="35"/>
  <c r="L28" i="35"/>
  <c r="I28" i="35"/>
  <c r="R25" i="35"/>
  <c r="Q25" i="35"/>
  <c r="M25" i="35"/>
  <c r="K25" i="35"/>
  <c r="J25" i="35"/>
  <c r="H25" i="35"/>
  <c r="G25" i="35"/>
  <c r="E25" i="35"/>
  <c r="S24" i="35"/>
  <c r="N24" i="35"/>
  <c r="L24" i="35"/>
  <c r="I24" i="35"/>
  <c r="S23" i="35"/>
  <c r="N23" i="35"/>
  <c r="L23" i="35"/>
  <c r="I23" i="35"/>
  <c r="S22" i="35"/>
  <c r="O22" i="35"/>
  <c r="I22" i="35"/>
  <c r="R19" i="35"/>
  <c r="Q19" i="35"/>
  <c r="M19" i="35"/>
  <c r="K19" i="35"/>
  <c r="J19" i="35"/>
  <c r="H19" i="35"/>
  <c r="G19" i="35"/>
  <c r="E19" i="35"/>
  <c r="S18" i="35"/>
  <c r="N18" i="35"/>
  <c r="L18" i="35"/>
  <c r="I18" i="35"/>
  <c r="S17" i="35"/>
  <c r="N17" i="35"/>
  <c r="L17" i="35"/>
  <c r="I17" i="35"/>
  <c r="S16" i="35"/>
  <c r="N16" i="35"/>
  <c r="O16" i="35" s="1"/>
  <c r="I16" i="35"/>
  <c r="S15" i="35"/>
  <c r="N15" i="35"/>
  <c r="L15" i="35"/>
  <c r="I15" i="35"/>
  <c r="S14" i="35"/>
  <c r="N14" i="35"/>
  <c r="L14" i="35"/>
  <c r="I14" i="35"/>
  <c r="S13" i="35"/>
  <c r="N13" i="35"/>
  <c r="O13" i="35" s="1"/>
  <c r="I13" i="35"/>
  <c r="S12" i="35"/>
  <c r="N12" i="35"/>
  <c r="L12" i="35"/>
  <c r="I12" i="35"/>
  <c r="R9" i="35"/>
  <c r="Q9" i="35"/>
  <c r="M9" i="35"/>
  <c r="K9" i="35"/>
  <c r="J9" i="35"/>
  <c r="H9" i="35"/>
  <c r="G9" i="35"/>
  <c r="E9" i="35"/>
  <c r="S8" i="35"/>
  <c r="N8" i="35"/>
  <c r="L8" i="35"/>
  <c r="I8" i="35"/>
  <c r="S7" i="35"/>
  <c r="O31" i="35" l="1"/>
  <c r="P32" i="35"/>
  <c r="M51" i="35"/>
  <c r="L19" i="35"/>
  <c r="H51" i="35"/>
  <c r="Q51" i="35"/>
  <c r="O35" i="35"/>
  <c r="O24" i="35"/>
  <c r="P16" i="35"/>
  <c r="O30" i="35"/>
  <c r="P30" i="35" s="1"/>
  <c r="I44" i="35"/>
  <c r="E51" i="35"/>
  <c r="K51" i="35"/>
  <c r="P13" i="35"/>
  <c r="O14" i="35"/>
  <c r="O17" i="35"/>
  <c r="P17" i="35" s="1"/>
  <c r="O18" i="35"/>
  <c r="P18" i="35" s="1"/>
  <c r="N42" i="35"/>
  <c r="O42" i="35" s="1"/>
  <c r="O44" i="35" s="1"/>
  <c r="O8" i="35"/>
  <c r="P8" i="35" s="1"/>
  <c r="G51" i="35"/>
  <c r="S39" i="35"/>
  <c r="N9" i="35"/>
  <c r="S9" i="35"/>
  <c r="N19" i="35"/>
  <c r="O15" i="35"/>
  <c r="P15" i="35" s="1"/>
  <c r="I25" i="35"/>
  <c r="L25" i="35"/>
  <c r="I39" i="35"/>
  <c r="R51" i="35"/>
  <c r="L39" i="35"/>
  <c r="P34" i="35"/>
  <c r="P35" i="35"/>
  <c r="P37" i="35"/>
  <c r="J51" i="35"/>
  <c r="O12" i="35"/>
  <c r="P12" i="35" s="1"/>
  <c r="O7" i="35"/>
  <c r="O9" i="35" s="1"/>
  <c r="S19" i="35"/>
  <c r="I19" i="35"/>
  <c r="S25" i="35"/>
  <c r="O23" i="35"/>
  <c r="N39" i="35"/>
  <c r="O33" i="35"/>
  <c r="P33" i="35" s="1"/>
  <c r="P24" i="35"/>
  <c r="P29" i="35"/>
  <c r="P31" i="35"/>
  <c r="P36" i="35"/>
  <c r="P38" i="35"/>
  <c r="P43" i="35"/>
  <c r="N25" i="35"/>
  <c r="L9" i="35"/>
  <c r="O28" i="35"/>
  <c r="P42" i="35"/>
  <c r="O47" i="35"/>
  <c r="O48" i="35" s="1"/>
  <c r="P14" i="35"/>
  <c r="I9" i="35"/>
  <c r="P22" i="35"/>
  <c r="O25" i="35" l="1"/>
  <c r="O39" i="35"/>
  <c r="I51" i="35"/>
  <c r="N44" i="35"/>
  <c r="N51" i="35" s="1"/>
  <c r="S51" i="35"/>
  <c r="P7" i="35"/>
  <c r="P9" i="35" s="1"/>
  <c r="P23" i="35"/>
  <c r="P19" i="35"/>
  <c r="L51" i="35"/>
  <c r="P47" i="35"/>
  <c r="P48" i="35" s="1"/>
  <c r="P25" i="35"/>
  <c r="O19" i="35"/>
  <c r="O51" i="35" s="1"/>
  <c r="P28" i="35"/>
  <c r="P39" i="35" s="1"/>
  <c r="P44" i="35"/>
  <c r="P51" i="35" l="1"/>
  <c r="G23" i="34" l="1"/>
  <c r="R49" i="34" l="1"/>
  <c r="Q49" i="34"/>
  <c r="M49" i="34"/>
  <c r="K49" i="34"/>
  <c r="J49" i="34"/>
  <c r="H49" i="34"/>
  <c r="G49" i="34"/>
  <c r="E49" i="34"/>
  <c r="S48" i="34"/>
  <c r="S49" i="34" s="1"/>
  <c r="N48" i="34"/>
  <c r="N49" i="34" s="1"/>
  <c r="L48" i="34"/>
  <c r="L49" i="34" s="1"/>
  <c r="I48" i="34"/>
  <c r="I49" i="34" s="1"/>
  <c r="R45" i="34"/>
  <c r="Q45" i="34"/>
  <c r="M45" i="34"/>
  <c r="K45" i="34"/>
  <c r="J45" i="34"/>
  <c r="H45" i="34"/>
  <c r="G45" i="34"/>
  <c r="E45" i="34"/>
  <c r="S44" i="34"/>
  <c r="I44" i="34"/>
  <c r="S43" i="34"/>
  <c r="L43" i="34"/>
  <c r="L45" i="34" s="1"/>
  <c r="I43" i="34"/>
  <c r="N43" i="34" s="1"/>
  <c r="R40" i="34"/>
  <c r="Q40" i="34"/>
  <c r="M40" i="34"/>
  <c r="K40" i="34"/>
  <c r="J40" i="34"/>
  <c r="H40" i="34"/>
  <c r="G40" i="34"/>
  <c r="E40" i="34"/>
  <c r="S39" i="34"/>
  <c r="N39" i="34"/>
  <c r="L39" i="34"/>
  <c r="I39" i="34"/>
  <c r="S38" i="34"/>
  <c r="N38" i="34"/>
  <c r="L38" i="34"/>
  <c r="I38" i="34"/>
  <c r="S37" i="34"/>
  <c r="N37" i="34"/>
  <c r="L37" i="34"/>
  <c r="I37" i="34"/>
  <c r="S36" i="34"/>
  <c r="N36" i="34"/>
  <c r="L36" i="34"/>
  <c r="I36" i="34"/>
  <c r="S35" i="34"/>
  <c r="N35" i="34"/>
  <c r="L35" i="34"/>
  <c r="I35" i="34"/>
  <c r="S34" i="34"/>
  <c r="N34" i="34"/>
  <c r="L34" i="34"/>
  <c r="I34" i="34"/>
  <c r="S33" i="34"/>
  <c r="N33" i="34"/>
  <c r="O33" i="34" s="1"/>
  <c r="I33" i="34"/>
  <c r="S32" i="34"/>
  <c r="N32" i="34"/>
  <c r="L32" i="34"/>
  <c r="I32" i="34"/>
  <c r="S31" i="34"/>
  <c r="N31" i="34"/>
  <c r="O31" i="34" s="1"/>
  <c r="L31" i="34"/>
  <c r="I31" i="34"/>
  <c r="S30" i="34"/>
  <c r="N30" i="34"/>
  <c r="L30" i="34"/>
  <c r="I30" i="34"/>
  <c r="S29" i="34"/>
  <c r="S40" i="34" s="1"/>
  <c r="N29" i="34"/>
  <c r="L29" i="34"/>
  <c r="I29" i="34"/>
  <c r="I40" i="34" s="1"/>
  <c r="R26" i="34"/>
  <c r="Q26" i="34"/>
  <c r="M26" i="34"/>
  <c r="K26" i="34"/>
  <c r="J26" i="34"/>
  <c r="H26" i="34"/>
  <c r="G26" i="34"/>
  <c r="E26" i="34"/>
  <c r="S25" i="34"/>
  <c r="N25" i="34"/>
  <c r="L25" i="34"/>
  <c r="I25" i="34"/>
  <c r="S24" i="34"/>
  <c r="N24" i="34"/>
  <c r="L24" i="34"/>
  <c r="I24" i="34"/>
  <c r="S23" i="34"/>
  <c r="S26" i="34" s="1"/>
  <c r="N23" i="34"/>
  <c r="N26" i="34" s="1"/>
  <c r="L23" i="34"/>
  <c r="L26" i="34" s="1"/>
  <c r="I23" i="34"/>
  <c r="I26" i="34" s="1"/>
  <c r="R20" i="34"/>
  <c r="Q20" i="34"/>
  <c r="M20" i="34"/>
  <c r="K20" i="34"/>
  <c r="J20" i="34"/>
  <c r="H20" i="34"/>
  <c r="G20" i="34"/>
  <c r="E20" i="34"/>
  <c r="S19" i="34"/>
  <c r="N19" i="34"/>
  <c r="L19" i="34"/>
  <c r="I19" i="34"/>
  <c r="S18" i="34"/>
  <c r="N18" i="34"/>
  <c r="L18" i="34"/>
  <c r="I18" i="34"/>
  <c r="S17" i="34"/>
  <c r="N17" i="34"/>
  <c r="L17" i="34"/>
  <c r="I17" i="34"/>
  <c r="S16" i="34"/>
  <c r="N16" i="34"/>
  <c r="L16" i="34"/>
  <c r="I16" i="34"/>
  <c r="S15" i="34"/>
  <c r="N15" i="34"/>
  <c r="L15" i="34"/>
  <c r="I15" i="34"/>
  <c r="S14" i="34"/>
  <c r="O14" i="34"/>
  <c r="I14" i="34"/>
  <c r="P14" i="34" s="1"/>
  <c r="S13" i="34"/>
  <c r="N13" i="34"/>
  <c r="L13" i="34"/>
  <c r="O13" i="34" s="1"/>
  <c r="I13" i="34"/>
  <c r="S12" i="34"/>
  <c r="L12" i="34"/>
  <c r="O12" i="34" s="1"/>
  <c r="I12" i="34"/>
  <c r="R9" i="34"/>
  <c r="R52" i="34" s="1"/>
  <c r="Q9" i="34"/>
  <c r="Q52" i="34" s="1"/>
  <c r="M9" i="34"/>
  <c r="K9" i="34"/>
  <c r="J9" i="34"/>
  <c r="J52" i="34" s="1"/>
  <c r="H9" i="34"/>
  <c r="G9" i="34"/>
  <c r="E9" i="34"/>
  <c r="S8" i="34"/>
  <c r="O8" i="34"/>
  <c r="I8" i="34"/>
  <c r="S7" i="34"/>
  <c r="N9" i="34"/>
  <c r="I7" i="34"/>
  <c r="I9" i="34" s="1"/>
  <c r="P8" i="34" l="1"/>
  <c r="L40" i="34"/>
  <c r="O7" i="34"/>
  <c r="O9" i="34" s="1"/>
  <c r="N20" i="34"/>
  <c r="S45" i="34"/>
  <c r="N40" i="34"/>
  <c r="S9" i="34"/>
  <c r="H52" i="34"/>
  <c r="M52" i="34"/>
  <c r="O15" i="34"/>
  <c r="P15" i="34" s="1"/>
  <c r="O16" i="34"/>
  <c r="P16" i="34" s="1"/>
  <c r="O17" i="34"/>
  <c r="P17" i="34" s="1"/>
  <c r="O18" i="34"/>
  <c r="P18" i="34" s="1"/>
  <c r="O19" i="34"/>
  <c r="P19" i="34" s="1"/>
  <c r="O24" i="34"/>
  <c r="P24" i="34" s="1"/>
  <c r="O25" i="34"/>
  <c r="P25" i="34" s="1"/>
  <c r="O30" i="34"/>
  <c r="P30" i="34" s="1"/>
  <c r="O32" i="34"/>
  <c r="O34" i="34"/>
  <c r="P34" i="34" s="1"/>
  <c r="O36" i="34"/>
  <c r="O38" i="34"/>
  <c r="O39" i="34"/>
  <c r="P39" i="34" s="1"/>
  <c r="O37" i="34"/>
  <c r="P37" i="34" s="1"/>
  <c r="O35" i="34"/>
  <c r="K52" i="34"/>
  <c r="L20" i="34"/>
  <c r="P13" i="34"/>
  <c r="G52" i="34"/>
  <c r="S20" i="34"/>
  <c r="E52" i="34"/>
  <c r="I20" i="34"/>
  <c r="P7" i="34"/>
  <c r="P9" i="34" s="1"/>
  <c r="P31" i="34"/>
  <c r="P32" i="34"/>
  <c r="P33" i="34"/>
  <c r="P35" i="34"/>
  <c r="P36" i="34"/>
  <c r="P38" i="34"/>
  <c r="L9" i="34"/>
  <c r="P12" i="34"/>
  <c r="O23" i="34"/>
  <c r="O29" i="34"/>
  <c r="O40" i="34" s="1"/>
  <c r="O43" i="34"/>
  <c r="N44" i="34"/>
  <c r="O44" i="34" s="1"/>
  <c r="P44" i="34" s="1"/>
  <c r="O48" i="34"/>
  <c r="O49" i="34" s="1"/>
  <c r="I45" i="34"/>
  <c r="O14" i="33"/>
  <c r="S52" i="34" l="1"/>
  <c r="P29" i="34"/>
  <c r="P40" i="34" s="1"/>
  <c r="O26" i="34"/>
  <c r="O20" i="34"/>
  <c r="P20" i="34"/>
  <c r="P48" i="34"/>
  <c r="P49" i="34" s="1"/>
  <c r="P23" i="34"/>
  <c r="P26" i="34" s="1"/>
  <c r="L52" i="34"/>
  <c r="I52" i="34"/>
  <c r="O45" i="34"/>
  <c r="N45" i="34"/>
  <c r="N52" i="34" s="1"/>
  <c r="P43" i="34"/>
  <c r="P45" i="34" s="1"/>
  <c r="H49" i="33"/>
  <c r="H45" i="33"/>
  <c r="H40" i="33"/>
  <c r="H26" i="33"/>
  <c r="H20" i="33"/>
  <c r="H9" i="33"/>
  <c r="P14" i="33"/>
  <c r="I14" i="33"/>
  <c r="O52" i="34" l="1"/>
  <c r="P52" i="34"/>
  <c r="H52" i="33"/>
  <c r="R49" i="33"/>
  <c r="Q49" i="33"/>
  <c r="M49" i="33"/>
  <c r="K49" i="33"/>
  <c r="J49" i="33"/>
  <c r="G49" i="33"/>
  <c r="E49" i="33"/>
  <c r="S48" i="33"/>
  <c r="S49" i="33" s="1"/>
  <c r="N48" i="33"/>
  <c r="N49" i="33" s="1"/>
  <c r="L48" i="33"/>
  <c r="L49" i="33" s="1"/>
  <c r="I48" i="33"/>
  <c r="I49" i="33" s="1"/>
  <c r="R45" i="33"/>
  <c r="Q45" i="33"/>
  <c r="M45" i="33"/>
  <c r="K45" i="33"/>
  <c r="J45" i="33"/>
  <c r="G45" i="33"/>
  <c r="E45" i="33"/>
  <c r="S44" i="33"/>
  <c r="I44" i="33"/>
  <c r="S43" i="33"/>
  <c r="L43" i="33"/>
  <c r="L45" i="33" s="1"/>
  <c r="I43" i="33"/>
  <c r="I45" i="33" s="1"/>
  <c r="R40" i="33"/>
  <c r="Q40" i="33"/>
  <c r="M40" i="33"/>
  <c r="K40" i="33"/>
  <c r="J40" i="33"/>
  <c r="G40" i="33"/>
  <c r="E40" i="33"/>
  <c r="S39" i="33"/>
  <c r="N39" i="33"/>
  <c r="L39" i="33"/>
  <c r="I39" i="33"/>
  <c r="S38" i="33"/>
  <c r="N38" i="33"/>
  <c r="L38" i="33"/>
  <c r="I38" i="33"/>
  <c r="S37" i="33"/>
  <c r="N37" i="33"/>
  <c r="L37" i="33"/>
  <c r="I37" i="33"/>
  <c r="S36" i="33"/>
  <c r="N36" i="33"/>
  <c r="L36" i="33"/>
  <c r="I36" i="33"/>
  <c r="S35" i="33"/>
  <c r="N35" i="33"/>
  <c r="L35" i="33"/>
  <c r="I35" i="33"/>
  <c r="S34" i="33"/>
  <c r="N34" i="33"/>
  <c r="L34" i="33"/>
  <c r="I34" i="33"/>
  <c r="S33" i="33"/>
  <c r="N33" i="33"/>
  <c r="L33" i="33"/>
  <c r="I33" i="33"/>
  <c r="S32" i="33"/>
  <c r="N32" i="33"/>
  <c r="L32" i="33"/>
  <c r="I32" i="33"/>
  <c r="S31" i="33"/>
  <c r="N31" i="33"/>
  <c r="L31" i="33"/>
  <c r="I31" i="33"/>
  <c r="S30" i="33"/>
  <c r="N30" i="33"/>
  <c r="L30" i="33"/>
  <c r="I30" i="33"/>
  <c r="S29" i="33"/>
  <c r="S40" i="33" s="1"/>
  <c r="N29" i="33"/>
  <c r="N40" i="33" s="1"/>
  <c r="L29" i="33"/>
  <c r="L40" i="33" s="1"/>
  <c r="I29" i="33"/>
  <c r="R26" i="33"/>
  <c r="Q26" i="33"/>
  <c r="M26" i="33"/>
  <c r="K26" i="33"/>
  <c r="J26" i="33"/>
  <c r="G26" i="33"/>
  <c r="E26" i="33"/>
  <c r="S25" i="33"/>
  <c r="N25" i="33"/>
  <c r="L25" i="33"/>
  <c r="I25" i="33"/>
  <c r="S24" i="33"/>
  <c r="N24" i="33"/>
  <c r="L24" i="33"/>
  <c r="I24" i="33"/>
  <c r="S23" i="33"/>
  <c r="S26" i="33" s="1"/>
  <c r="N23" i="33"/>
  <c r="N26" i="33" s="1"/>
  <c r="L23" i="33"/>
  <c r="L26" i="33" s="1"/>
  <c r="I23" i="33"/>
  <c r="I26" i="33" s="1"/>
  <c r="R20" i="33"/>
  <c r="Q20" i="33"/>
  <c r="M20" i="33"/>
  <c r="K20" i="33"/>
  <c r="J20" i="33"/>
  <c r="G20" i="33"/>
  <c r="E20" i="33"/>
  <c r="S19" i="33"/>
  <c r="N19" i="33"/>
  <c r="L19" i="33"/>
  <c r="I19" i="33"/>
  <c r="S18" i="33"/>
  <c r="N18" i="33"/>
  <c r="L18" i="33"/>
  <c r="I18" i="33"/>
  <c r="S17" i="33"/>
  <c r="N17" i="33"/>
  <c r="L17" i="33"/>
  <c r="I17" i="33"/>
  <c r="S16" i="33"/>
  <c r="N16" i="33"/>
  <c r="L16" i="33"/>
  <c r="I16" i="33"/>
  <c r="S15" i="33"/>
  <c r="N15" i="33"/>
  <c r="L15" i="33"/>
  <c r="I15" i="33"/>
  <c r="S14" i="33"/>
  <c r="L14" i="33"/>
  <c r="S13" i="33"/>
  <c r="N13" i="33"/>
  <c r="L13" i="33"/>
  <c r="I13" i="33"/>
  <c r="S12" i="33"/>
  <c r="N12" i="33"/>
  <c r="L12" i="33"/>
  <c r="I12" i="33"/>
  <c r="R9" i="33"/>
  <c r="Q9" i="33"/>
  <c r="M9" i="33"/>
  <c r="K9" i="33"/>
  <c r="J9" i="33"/>
  <c r="G9" i="33"/>
  <c r="E9" i="33"/>
  <c r="S8" i="33"/>
  <c r="O8" i="33"/>
  <c r="N8" i="33"/>
  <c r="L8" i="33"/>
  <c r="I8" i="33"/>
  <c r="S7" i="33"/>
  <c r="S9" i="33" s="1"/>
  <c r="N7" i="33"/>
  <c r="N9" i="33" s="1"/>
  <c r="L7" i="33"/>
  <c r="L9" i="33" s="1"/>
  <c r="I7" i="33"/>
  <c r="N13" i="31"/>
  <c r="R52" i="33" l="1"/>
  <c r="S20" i="33"/>
  <c r="K52" i="33"/>
  <c r="O15" i="33"/>
  <c r="O18" i="33"/>
  <c r="O12" i="33"/>
  <c r="P12" i="33" s="1"/>
  <c r="O13" i="33"/>
  <c r="N43" i="33"/>
  <c r="J52" i="33"/>
  <c r="Q52" i="33"/>
  <c r="P8" i="33"/>
  <c r="S45" i="33"/>
  <c r="E52" i="33"/>
  <c r="P15" i="33"/>
  <c r="P18" i="33"/>
  <c r="P32" i="33"/>
  <c r="L20" i="33"/>
  <c r="L52" i="33" s="1"/>
  <c r="O16" i="33"/>
  <c r="P16" i="33" s="1"/>
  <c r="O17" i="33"/>
  <c r="P17" i="33" s="1"/>
  <c r="O19" i="33"/>
  <c r="O24" i="33"/>
  <c r="P24" i="33" s="1"/>
  <c r="O25" i="33"/>
  <c r="P25" i="33" s="1"/>
  <c r="O30" i="33"/>
  <c r="P30" i="33" s="1"/>
  <c r="O31" i="33"/>
  <c r="P31" i="33" s="1"/>
  <c r="O32" i="33"/>
  <c r="O33" i="33"/>
  <c r="P33" i="33" s="1"/>
  <c r="O34" i="33"/>
  <c r="P34" i="33" s="1"/>
  <c r="O35" i="33"/>
  <c r="P35" i="33" s="1"/>
  <c r="O36" i="33"/>
  <c r="P36" i="33" s="1"/>
  <c r="O37" i="33"/>
  <c r="P37" i="33" s="1"/>
  <c r="O38" i="33"/>
  <c r="P38" i="33" s="1"/>
  <c r="O39" i="33"/>
  <c r="P39" i="33" s="1"/>
  <c r="M52" i="33"/>
  <c r="I40" i="33"/>
  <c r="G52" i="33"/>
  <c r="I20" i="33"/>
  <c r="P13" i="33"/>
  <c r="N20" i="33"/>
  <c r="I9" i="33"/>
  <c r="O23" i="33"/>
  <c r="O29" i="33"/>
  <c r="O40" i="33" s="1"/>
  <c r="O43" i="33"/>
  <c r="O45" i="33" s="1"/>
  <c r="N44" i="33"/>
  <c r="O44" i="33" s="1"/>
  <c r="P44" i="33" s="1"/>
  <c r="O7" i="33"/>
  <c r="O9" i="33" s="1"/>
  <c r="P23" i="33"/>
  <c r="O48" i="33"/>
  <c r="O49" i="33" s="1"/>
  <c r="N24" i="32"/>
  <c r="S52" i="33" l="1"/>
  <c r="P48" i="33"/>
  <c r="P49" i="33" s="1"/>
  <c r="O20" i="33"/>
  <c r="O52" i="33" s="1"/>
  <c r="O26" i="33"/>
  <c r="P26" i="33"/>
  <c r="P19" i="33"/>
  <c r="P29" i="33"/>
  <c r="P40" i="33" s="1"/>
  <c r="I52" i="33"/>
  <c r="P7" i="33"/>
  <c r="P9" i="33" s="1"/>
  <c r="P43" i="33"/>
  <c r="P45" i="33" s="1"/>
  <c r="P20" i="33"/>
  <c r="N45" i="33"/>
  <c r="N52" i="33" s="1"/>
  <c r="N42" i="30"/>
  <c r="N36" i="30"/>
  <c r="P52" i="33" l="1"/>
  <c r="N48" i="32"/>
  <c r="N33" i="32"/>
  <c r="N34" i="32"/>
  <c r="N35" i="32"/>
  <c r="N36" i="32"/>
  <c r="N37" i="32"/>
  <c r="N38" i="32"/>
  <c r="N39" i="32"/>
  <c r="N32" i="32"/>
  <c r="N31" i="32"/>
  <c r="N30" i="32"/>
  <c r="N29" i="32"/>
  <c r="N23" i="32"/>
  <c r="N18" i="32"/>
  <c r="N17" i="32"/>
  <c r="N16" i="32"/>
  <c r="N13" i="32"/>
  <c r="N12" i="32"/>
  <c r="N8" i="32"/>
  <c r="N7" i="32"/>
  <c r="N47" i="31"/>
  <c r="N38" i="31"/>
  <c r="N37" i="31"/>
  <c r="N36" i="31"/>
  <c r="N35" i="31"/>
  <c r="N34" i="31"/>
  <c r="N33" i="31"/>
  <c r="N32" i="31"/>
  <c r="N31" i="31"/>
  <c r="N30" i="31"/>
  <c r="N29" i="31"/>
  <c r="N28" i="31"/>
  <c r="N23" i="31"/>
  <c r="N22" i="31"/>
  <c r="N17" i="31"/>
  <c r="N16" i="31"/>
  <c r="N15" i="31"/>
  <c r="N12" i="31"/>
  <c r="N11" i="31"/>
  <c r="N7" i="31"/>
  <c r="N6" i="31"/>
  <c r="N47" i="30"/>
  <c r="N38" i="30"/>
  <c r="N37" i="30"/>
  <c r="N35" i="30"/>
  <c r="N34" i="30"/>
  <c r="N33" i="30"/>
  <c r="N31" i="30"/>
  <c r="N32" i="30"/>
  <c r="N30" i="30"/>
  <c r="N29" i="30"/>
  <c r="N28" i="30"/>
  <c r="N22" i="30"/>
  <c r="N18" i="30"/>
  <c r="N17" i="30"/>
  <c r="N16" i="30"/>
  <c r="N15" i="30"/>
  <c r="N13" i="30"/>
  <c r="N12" i="30"/>
  <c r="N11" i="30"/>
  <c r="N7" i="30"/>
  <c r="N6" i="30"/>
  <c r="R49" i="32" l="1"/>
  <c r="Q49" i="32"/>
  <c r="M49" i="32"/>
  <c r="L49" i="32"/>
  <c r="J49" i="32"/>
  <c r="I49" i="32"/>
  <c r="G49" i="32"/>
  <c r="E49" i="32"/>
  <c r="S48" i="32"/>
  <c r="S49" i="32" s="1"/>
  <c r="N49" i="32"/>
  <c r="K48" i="32"/>
  <c r="K49" i="32" s="1"/>
  <c r="H48" i="32"/>
  <c r="H49" i="32" s="1"/>
  <c r="R45" i="32"/>
  <c r="Q45" i="32"/>
  <c r="M45" i="32"/>
  <c r="L45" i="32"/>
  <c r="J45" i="32"/>
  <c r="I45" i="32"/>
  <c r="G45" i="32"/>
  <c r="E45" i="32"/>
  <c r="S44" i="32"/>
  <c r="N44" i="32"/>
  <c r="H44" i="32"/>
  <c r="S43" i="32"/>
  <c r="S45" i="32" s="1"/>
  <c r="K43" i="32"/>
  <c r="K45" i="32" s="1"/>
  <c r="H43" i="32"/>
  <c r="R40" i="32"/>
  <c r="Q40" i="32"/>
  <c r="M40" i="32"/>
  <c r="L40" i="32"/>
  <c r="J40" i="32"/>
  <c r="I40" i="32"/>
  <c r="G40" i="32"/>
  <c r="E40" i="32"/>
  <c r="S39" i="32"/>
  <c r="K39" i="32"/>
  <c r="O39" i="32" s="1"/>
  <c r="H39" i="32"/>
  <c r="S38" i="32"/>
  <c r="K38" i="32"/>
  <c r="O38" i="32" s="1"/>
  <c r="H38" i="32"/>
  <c r="S37" i="32"/>
  <c r="K37" i="32"/>
  <c r="O37" i="32" s="1"/>
  <c r="H37" i="32"/>
  <c r="S36" i="32"/>
  <c r="K36" i="32"/>
  <c r="O36" i="32" s="1"/>
  <c r="H36" i="32"/>
  <c r="S35" i="32"/>
  <c r="K35" i="32"/>
  <c r="O35" i="32" s="1"/>
  <c r="H35" i="32"/>
  <c r="S34" i="32"/>
  <c r="K34" i="32"/>
  <c r="O34" i="32" s="1"/>
  <c r="H34" i="32"/>
  <c r="S33" i="32"/>
  <c r="O33" i="32"/>
  <c r="K33" i="32"/>
  <c r="H33" i="32"/>
  <c r="P33" i="32" s="1"/>
  <c r="S32" i="32"/>
  <c r="K32" i="32"/>
  <c r="O32" i="32" s="1"/>
  <c r="H32" i="32"/>
  <c r="S31" i="32"/>
  <c r="O31" i="32"/>
  <c r="K31" i="32"/>
  <c r="H31" i="32"/>
  <c r="S30" i="32"/>
  <c r="K30" i="32"/>
  <c r="O30" i="32" s="1"/>
  <c r="H30" i="32"/>
  <c r="S29" i="32"/>
  <c r="S40" i="32" s="1"/>
  <c r="O29" i="32"/>
  <c r="K29" i="32"/>
  <c r="K40" i="32" s="1"/>
  <c r="H29" i="32"/>
  <c r="R26" i="32"/>
  <c r="Q26" i="32"/>
  <c r="M26" i="32"/>
  <c r="L26" i="32"/>
  <c r="J26" i="32"/>
  <c r="I26" i="32"/>
  <c r="G26" i="32"/>
  <c r="E26" i="32"/>
  <c r="S25" i="32"/>
  <c r="N25" i="32"/>
  <c r="O25" i="32" s="1"/>
  <c r="K25" i="32"/>
  <c r="H25" i="32"/>
  <c r="P25" i="32" s="1"/>
  <c r="S24" i="32"/>
  <c r="K24" i="32"/>
  <c r="O24" i="32" s="1"/>
  <c r="H24" i="32"/>
  <c r="S23" i="32"/>
  <c r="S26" i="32" s="1"/>
  <c r="O23" i="32"/>
  <c r="K23" i="32"/>
  <c r="K26" i="32" s="1"/>
  <c r="H23" i="32"/>
  <c r="R20" i="32"/>
  <c r="Q20" i="32"/>
  <c r="M20" i="32"/>
  <c r="L20" i="32"/>
  <c r="J20" i="32"/>
  <c r="I20" i="32"/>
  <c r="G20" i="32"/>
  <c r="E20" i="32"/>
  <c r="S19" i="32"/>
  <c r="N19" i="32"/>
  <c r="O19" i="32" s="1"/>
  <c r="K19" i="32"/>
  <c r="H19" i="32"/>
  <c r="P19" i="32" s="1"/>
  <c r="S18" i="32"/>
  <c r="K18" i="32"/>
  <c r="O18" i="32" s="1"/>
  <c r="H18" i="32"/>
  <c r="S17" i="32"/>
  <c r="O17" i="32"/>
  <c r="K17" i="32"/>
  <c r="H17" i="32"/>
  <c r="S16" i="32"/>
  <c r="K16" i="32"/>
  <c r="O16" i="32" s="1"/>
  <c r="H16" i="32"/>
  <c r="P16" i="32" s="1"/>
  <c r="S15" i="32"/>
  <c r="N15" i="32"/>
  <c r="O15" i="32" s="1"/>
  <c r="K15" i="32"/>
  <c r="H15" i="32"/>
  <c r="P15" i="32" s="1"/>
  <c r="S14" i="32"/>
  <c r="K14" i="32"/>
  <c r="O14" i="32" s="1"/>
  <c r="H14" i="32"/>
  <c r="S13" i="32"/>
  <c r="N20" i="32"/>
  <c r="K13" i="32"/>
  <c r="O13" i="32" s="1"/>
  <c r="H13" i="32"/>
  <c r="S12" i="32"/>
  <c r="S20" i="32" s="1"/>
  <c r="K12" i="32"/>
  <c r="O12" i="32" s="1"/>
  <c r="H12" i="32"/>
  <c r="R9" i="32"/>
  <c r="R52" i="32" s="1"/>
  <c r="Q9" i="32"/>
  <c r="Q52" i="32" s="1"/>
  <c r="M9" i="32"/>
  <c r="M52" i="32" s="1"/>
  <c r="L9" i="32"/>
  <c r="L52" i="32" s="1"/>
  <c r="J9" i="32"/>
  <c r="J52" i="32" s="1"/>
  <c r="I9" i="32"/>
  <c r="I52" i="32" s="1"/>
  <c r="G9" i="32"/>
  <c r="E9" i="32"/>
  <c r="E52" i="32" s="1"/>
  <c r="S8" i="32"/>
  <c r="K8" i="32"/>
  <c r="O8" i="32" s="1"/>
  <c r="H8" i="32"/>
  <c r="S7" i="32"/>
  <c r="S9" i="32" s="1"/>
  <c r="S52" i="32" s="1"/>
  <c r="N9" i="32"/>
  <c r="K7" i="32"/>
  <c r="K9" i="32" s="1"/>
  <c r="H7" i="32"/>
  <c r="H40" i="32" l="1"/>
  <c r="H45" i="32"/>
  <c r="N43" i="32"/>
  <c r="O43" i="32" s="1"/>
  <c r="N45" i="32"/>
  <c r="P32" i="32"/>
  <c r="P31" i="32"/>
  <c r="P30" i="32"/>
  <c r="H26" i="32"/>
  <c r="P24" i="32"/>
  <c r="P18" i="32"/>
  <c r="P17" i="32"/>
  <c r="H20" i="32"/>
  <c r="P13" i="32"/>
  <c r="H9" i="32"/>
  <c r="O20" i="32"/>
  <c r="P14" i="32"/>
  <c r="G52" i="32"/>
  <c r="P34" i="32"/>
  <c r="P35" i="32"/>
  <c r="P36" i="32"/>
  <c r="P37" i="32"/>
  <c r="P38" i="32"/>
  <c r="P39" i="32"/>
  <c r="O26" i="32"/>
  <c r="O40" i="32"/>
  <c r="P8" i="32"/>
  <c r="N26" i="32"/>
  <c r="N40" i="32"/>
  <c r="O7" i="32"/>
  <c r="O9" i="32" s="1"/>
  <c r="K20" i="32"/>
  <c r="K52" i="32" s="1"/>
  <c r="P43" i="32"/>
  <c r="O44" i="32"/>
  <c r="P44" i="32" s="1"/>
  <c r="O48" i="32"/>
  <c r="O49" i="32" s="1"/>
  <c r="P12" i="32"/>
  <c r="P23" i="32"/>
  <c r="P29" i="32"/>
  <c r="P48" i="32"/>
  <c r="P49" i="32" s="1"/>
  <c r="S48" i="31"/>
  <c r="R48" i="31"/>
  <c r="Q48" i="31"/>
  <c r="M48" i="31"/>
  <c r="L48" i="31"/>
  <c r="K48" i="31"/>
  <c r="J48" i="31"/>
  <c r="I48" i="31"/>
  <c r="G48" i="31"/>
  <c r="E48" i="31"/>
  <c r="S47" i="31"/>
  <c r="N48" i="31"/>
  <c r="K47" i="31"/>
  <c r="H47" i="31"/>
  <c r="H48" i="31" s="1"/>
  <c r="S44" i="31"/>
  <c r="R44" i="31"/>
  <c r="Q44" i="31"/>
  <c r="M44" i="31"/>
  <c r="L44" i="31"/>
  <c r="K44" i="31"/>
  <c r="J44" i="31"/>
  <c r="I44" i="31"/>
  <c r="G44" i="31"/>
  <c r="E44" i="31"/>
  <c r="S43" i="31"/>
  <c r="H43" i="31"/>
  <c r="N43" i="31" s="1"/>
  <c r="S42" i="31"/>
  <c r="K42" i="31"/>
  <c r="H42" i="31"/>
  <c r="R39" i="31"/>
  <c r="Q39" i="31"/>
  <c r="M39" i="31"/>
  <c r="L39" i="31"/>
  <c r="J39" i="31"/>
  <c r="I39" i="31"/>
  <c r="G39" i="31"/>
  <c r="E39" i="31"/>
  <c r="S38" i="31"/>
  <c r="O38" i="31"/>
  <c r="K38" i="31"/>
  <c r="H38" i="31"/>
  <c r="S37" i="31"/>
  <c r="K37" i="31"/>
  <c r="O37" i="31" s="1"/>
  <c r="H37" i="31"/>
  <c r="S36" i="31"/>
  <c r="O36" i="31"/>
  <c r="K36" i="31"/>
  <c r="H36" i="31"/>
  <c r="S35" i="31"/>
  <c r="K35" i="31"/>
  <c r="O35" i="31" s="1"/>
  <c r="H35" i="31"/>
  <c r="S34" i="31"/>
  <c r="O34" i="31"/>
  <c r="K34" i="31"/>
  <c r="H34" i="31"/>
  <c r="S33" i="31"/>
  <c r="K33" i="31"/>
  <c r="O33" i="31" s="1"/>
  <c r="H33" i="31"/>
  <c r="S32" i="31"/>
  <c r="O32" i="31"/>
  <c r="K32" i="31"/>
  <c r="H32" i="31"/>
  <c r="S31" i="31"/>
  <c r="K31" i="31"/>
  <c r="O31" i="31" s="1"/>
  <c r="H31" i="31"/>
  <c r="S30" i="31"/>
  <c r="O30" i="31"/>
  <c r="K30" i="31"/>
  <c r="H30" i="31"/>
  <c r="S29" i="31"/>
  <c r="S39" i="31" s="1"/>
  <c r="K29" i="31"/>
  <c r="O29" i="31" s="1"/>
  <c r="H29" i="31"/>
  <c r="S28" i="31"/>
  <c r="O28" i="31"/>
  <c r="K28" i="31"/>
  <c r="H28" i="31"/>
  <c r="R25" i="31"/>
  <c r="Q25" i="31"/>
  <c r="M25" i="31"/>
  <c r="L25" i="31"/>
  <c r="J25" i="31"/>
  <c r="I25" i="31"/>
  <c r="G25" i="31"/>
  <c r="E25" i="31"/>
  <c r="S24" i="31"/>
  <c r="N24" i="31"/>
  <c r="O24" i="31" s="1"/>
  <c r="K24" i="31"/>
  <c r="H24" i="31"/>
  <c r="S23" i="31"/>
  <c r="S25" i="31" s="1"/>
  <c r="K23" i="31"/>
  <c r="O23" i="31" s="1"/>
  <c r="H23" i="31"/>
  <c r="S22" i="31"/>
  <c r="O22" i="31"/>
  <c r="K22" i="31"/>
  <c r="H22" i="31"/>
  <c r="H25" i="31" s="1"/>
  <c r="R19" i="31"/>
  <c r="Q19" i="31"/>
  <c r="M19" i="31"/>
  <c r="L19" i="31"/>
  <c r="J19" i="31"/>
  <c r="I19" i="31"/>
  <c r="G19" i="31"/>
  <c r="E19" i="31"/>
  <c r="S18" i="31"/>
  <c r="N18" i="31"/>
  <c r="O18" i="31" s="1"/>
  <c r="K18" i="31"/>
  <c r="H18" i="31"/>
  <c r="S17" i="31"/>
  <c r="K17" i="31"/>
  <c r="O17" i="31" s="1"/>
  <c r="H17" i="31"/>
  <c r="S16" i="31"/>
  <c r="O16" i="31"/>
  <c r="K16" i="31"/>
  <c r="H16" i="31"/>
  <c r="S15" i="31"/>
  <c r="K15" i="31"/>
  <c r="O15" i="31" s="1"/>
  <c r="H15" i="31"/>
  <c r="S14" i="31"/>
  <c r="N14" i="31"/>
  <c r="O14" i="31" s="1"/>
  <c r="K14" i="31"/>
  <c r="H14" i="31"/>
  <c r="S13" i="31"/>
  <c r="K13" i="31"/>
  <c r="O13" i="31" s="1"/>
  <c r="H13" i="31"/>
  <c r="S12" i="31"/>
  <c r="O12" i="31"/>
  <c r="K12" i="31"/>
  <c r="H12" i="31"/>
  <c r="S11" i="31"/>
  <c r="S19" i="31" s="1"/>
  <c r="K11" i="31"/>
  <c r="O11" i="31" s="1"/>
  <c r="H11" i="31"/>
  <c r="R8" i="31"/>
  <c r="R51" i="31" s="1"/>
  <c r="Q8" i="31"/>
  <c r="Q51" i="31" s="1"/>
  <c r="M8" i="31"/>
  <c r="M51" i="31" s="1"/>
  <c r="L8" i="31"/>
  <c r="J8" i="31"/>
  <c r="J51" i="31" s="1"/>
  <c r="I8" i="31"/>
  <c r="I51" i="31" s="1"/>
  <c r="G8" i="31"/>
  <c r="E8" i="31"/>
  <c r="E51" i="31" s="1"/>
  <c r="S7" i="31"/>
  <c r="K7" i="31"/>
  <c r="O7" i="31" s="1"/>
  <c r="H7" i="31"/>
  <c r="S6" i="31"/>
  <c r="S8" i="31" s="1"/>
  <c r="S51" i="31" s="1"/>
  <c r="N8" i="31"/>
  <c r="K6" i="31"/>
  <c r="K8" i="31" s="1"/>
  <c r="H6" i="31"/>
  <c r="L51" i="31" l="1"/>
  <c r="N52" i="32"/>
  <c r="P40" i="32"/>
  <c r="P26" i="32"/>
  <c r="H52" i="32"/>
  <c r="P20" i="32"/>
  <c r="P7" i="32"/>
  <c r="P9" i="32" s="1"/>
  <c r="H44" i="31"/>
  <c r="N42" i="31"/>
  <c r="O42" i="31" s="1"/>
  <c r="P42" i="31" s="1"/>
  <c r="H39" i="31"/>
  <c r="O19" i="31"/>
  <c r="P7" i="31"/>
  <c r="P45" i="32"/>
  <c r="O45" i="32"/>
  <c r="O52" i="32" s="1"/>
  <c r="G51" i="31"/>
  <c r="P11" i="31"/>
  <c r="P12" i="31"/>
  <c r="P13" i="31"/>
  <c r="P14" i="31"/>
  <c r="P15" i="31"/>
  <c r="P16" i="31"/>
  <c r="P17" i="31"/>
  <c r="P18" i="31"/>
  <c r="P23" i="31"/>
  <c r="P24" i="31"/>
  <c r="P29" i="31"/>
  <c r="P30" i="31"/>
  <c r="P31" i="31"/>
  <c r="P32" i="31"/>
  <c r="P33" i="31"/>
  <c r="P34" i="31"/>
  <c r="P35" i="31"/>
  <c r="P36" i="31"/>
  <c r="P37" i="31"/>
  <c r="P38" i="31"/>
  <c r="O25" i="31"/>
  <c r="O39" i="31"/>
  <c r="N25" i="31"/>
  <c r="O43" i="31"/>
  <c r="P43" i="31" s="1"/>
  <c r="O47" i="31"/>
  <c r="O48" i="31" s="1"/>
  <c r="H8" i="31"/>
  <c r="N19" i="31"/>
  <c r="O6" i="31"/>
  <c r="O8" i="31" s="1"/>
  <c r="H19" i="31"/>
  <c r="P22" i="31"/>
  <c r="P28" i="31"/>
  <c r="N39" i="31"/>
  <c r="K19" i="31"/>
  <c r="K51" i="31" s="1"/>
  <c r="K25" i="31"/>
  <c r="K39" i="31"/>
  <c r="I51" i="30"/>
  <c r="J51" i="30"/>
  <c r="K51" i="30"/>
  <c r="L51" i="30"/>
  <c r="M51" i="30"/>
  <c r="Q51" i="30"/>
  <c r="R51" i="30"/>
  <c r="S51" i="30"/>
  <c r="E51" i="30"/>
  <c r="I48" i="30"/>
  <c r="J48" i="30"/>
  <c r="K48" i="30"/>
  <c r="L48" i="30"/>
  <c r="M48" i="30"/>
  <c r="N48" i="30"/>
  <c r="Q48" i="30"/>
  <c r="R48" i="30"/>
  <c r="S48" i="30"/>
  <c r="G48" i="30"/>
  <c r="E48" i="30"/>
  <c r="S47" i="30"/>
  <c r="O47" i="30"/>
  <c r="O48" i="30" s="1"/>
  <c r="K47" i="30"/>
  <c r="H47" i="30"/>
  <c r="N24" i="30"/>
  <c r="I25" i="30"/>
  <c r="J25" i="30"/>
  <c r="K25" i="30"/>
  <c r="L25" i="30"/>
  <c r="M25" i="30"/>
  <c r="Q25" i="30"/>
  <c r="R25" i="30"/>
  <c r="S25" i="30"/>
  <c r="G25" i="30"/>
  <c r="E25" i="30"/>
  <c r="P52" i="32" l="1"/>
  <c r="P47" i="31"/>
  <c r="P48" i="31" s="1"/>
  <c r="P44" i="31"/>
  <c r="N44" i="31"/>
  <c r="N51" i="31" s="1"/>
  <c r="P39" i="31"/>
  <c r="P47" i="30"/>
  <c r="P48" i="30" s="1"/>
  <c r="H48" i="30"/>
  <c r="P25" i="31"/>
  <c r="H51" i="31"/>
  <c r="O44" i="31"/>
  <c r="O51" i="31" s="1"/>
  <c r="P6" i="31"/>
  <c r="P8" i="31" s="1"/>
  <c r="P19" i="31"/>
  <c r="N14" i="30"/>
  <c r="H7" i="30"/>
  <c r="H6" i="30"/>
  <c r="R44" i="30"/>
  <c r="Q44" i="30"/>
  <c r="M44" i="30"/>
  <c r="L44" i="30"/>
  <c r="J44" i="30"/>
  <c r="I44" i="30"/>
  <c r="G44" i="30"/>
  <c r="E44" i="30"/>
  <c r="S43" i="30"/>
  <c r="H43" i="30"/>
  <c r="S42" i="30"/>
  <c r="K42" i="30"/>
  <c r="K44" i="30" s="1"/>
  <c r="H42" i="30"/>
  <c r="R39" i="30"/>
  <c r="Q39" i="30"/>
  <c r="M39" i="30"/>
  <c r="L39" i="30"/>
  <c r="J39" i="30"/>
  <c r="I39" i="30"/>
  <c r="G39" i="30"/>
  <c r="E39" i="30"/>
  <c r="S38" i="30"/>
  <c r="K38" i="30"/>
  <c r="H38" i="30"/>
  <c r="S37" i="30"/>
  <c r="K37" i="30"/>
  <c r="H37" i="30"/>
  <c r="S36" i="30"/>
  <c r="K36" i="30"/>
  <c r="H36" i="30"/>
  <c r="S35" i="30"/>
  <c r="K35" i="30"/>
  <c r="H35" i="30"/>
  <c r="S34" i="30"/>
  <c r="K34" i="30"/>
  <c r="H34" i="30"/>
  <c r="O34" i="30" s="1"/>
  <c r="S33" i="30"/>
  <c r="K33" i="30"/>
  <c r="H33" i="30"/>
  <c r="S32" i="30"/>
  <c r="K32" i="30"/>
  <c r="H32" i="30"/>
  <c r="S31" i="30"/>
  <c r="K31" i="30"/>
  <c r="H31" i="30"/>
  <c r="S30" i="30"/>
  <c r="K30" i="30"/>
  <c r="H30" i="30"/>
  <c r="S29" i="30"/>
  <c r="K29" i="30"/>
  <c r="K39" i="30" s="1"/>
  <c r="H29" i="30"/>
  <c r="S28" i="30"/>
  <c r="K28" i="30"/>
  <c r="H28" i="30"/>
  <c r="S24" i="30"/>
  <c r="K24" i="30"/>
  <c r="H24" i="30"/>
  <c r="O24" i="30" s="1"/>
  <c r="S23" i="30"/>
  <c r="K23" i="30"/>
  <c r="S22" i="30"/>
  <c r="K22" i="30"/>
  <c r="H22" i="30"/>
  <c r="R19" i="30"/>
  <c r="Q19" i="30"/>
  <c r="M19" i="30"/>
  <c r="L19" i="30"/>
  <c r="J19" i="30"/>
  <c r="I19" i="30"/>
  <c r="G19" i="30"/>
  <c r="E19" i="30"/>
  <c r="S18" i="30"/>
  <c r="K18" i="30"/>
  <c r="H18" i="30"/>
  <c r="S17" i="30"/>
  <c r="K17" i="30"/>
  <c r="H17" i="30"/>
  <c r="S16" i="30"/>
  <c r="K16" i="30"/>
  <c r="H16" i="30"/>
  <c r="S15" i="30"/>
  <c r="K15" i="30"/>
  <c r="H15" i="30"/>
  <c r="S14" i="30"/>
  <c r="K14" i="30"/>
  <c r="H14" i="30"/>
  <c r="S13" i="30"/>
  <c r="K13" i="30"/>
  <c r="H13" i="30"/>
  <c r="S12" i="30"/>
  <c r="K12" i="30"/>
  <c r="H12" i="30"/>
  <c r="S11" i="30"/>
  <c r="K11" i="30"/>
  <c r="H11" i="30"/>
  <c r="R8" i="30"/>
  <c r="Q8" i="30"/>
  <c r="M8" i="30"/>
  <c r="L8" i="30"/>
  <c r="J8" i="30"/>
  <c r="I8" i="30"/>
  <c r="G8" i="30"/>
  <c r="E8" i="30"/>
  <c r="S7" i="30"/>
  <c r="K7" i="30"/>
  <c r="S6" i="30"/>
  <c r="K6" i="30"/>
  <c r="G51" i="30" l="1"/>
  <c r="P51" i="31"/>
  <c r="H25" i="30"/>
  <c r="N25" i="30"/>
  <c r="S44" i="30"/>
  <c r="O36" i="30"/>
  <c r="P36" i="30" s="1"/>
  <c r="O13" i="30"/>
  <c r="P13" i="30" s="1"/>
  <c r="O14" i="30"/>
  <c r="P14" i="30" s="1"/>
  <c r="H19" i="30"/>
  <c r="O12" i="30"/>
  <c r="P12" i="30" s="1"/>
  <c r="O35" i="30"/>
  <c r="P35" i="30" s="1"/>
  <c r="O37" i="30"/>
  <c r="P37" i="30" s="1"/>
  <c r="S8" i="30"/>
  <c r="K19" i="30"/>
  <c r="O17" i="30"/>
  <c r="P17" i="30" s="1"/>
  <c r="O18" i="30"/>
  <c r="P18" i="30" s="1"/>
  <c r="O23" i="30"/>
  <c r="S39" i="30"/>
  <c r="O32" i="30"/>
  <c r="O33" i="30"/>
  <c r="P33" i="30" s="1"/>
  <c r="N43" i="30"/>
  <c r="O43" i="30" s="1"/>
  <c r="P43" i="30" s="1"/>
  <c r="S19" i="30"/>
  <c r="O15" i="30"/>
  <c r="P15" i="30" s="1"/>
  <c r="O16" i="30"/>
  <c r="P16" i="30" s="1"/>
  <c r="O30" i="30"/>
  <c r="O31" i="30"/>
  <c r="P31" i="30" s="1"/>
  <c r="O38" i="30"/>
  <c r="P38" i="30" s="1"/>
  <c r="O7" i="30"/>
  <c r="P7" i="30" s="1"/>
  <c r="O6" i="30"/>
  <c r="P6" i="30" s="1"/>
  <c r="N39" i="30"/>
  <c r="O28" i="30"/>
  <c r="N8" i="30"/>
  <c r="O42" i="30"/>
  <c r="P42" i="30" s="1"/>
  <c r="K8" i="30"/>
  <c r="P24" i="30"/>
  <c r="P32" i="30"/>
  <c r="H39" i="30"/>
  <c r="O22" i="30"/>
  <c r="P22" i="30" s="1"/>
  <c r="O29" i="30"/>
  <c r="P29" i="30" s="1"/>
  <c r="H44" i="30"/>
  <c r="H8" i="30"/>
  <c r="P30" i="30"/>
  <c r="P34" i="30"/>
  <c r="L51" i="29"/>
  <c r="R48" i="29"/>
  <c r="Q48" i="29"/>
  <c r="M48" i="29"/>
  <c r="L48" i="29"/>
  <c r="J48" i="29"/>
  <c r="I48" i="29"/>
  <c r="G48" i="29"/>
  <c r="E48" i="29"/>
  <c r="S47" i="29"/>
  <c r="N47" i="29"/>
  <c r="O47" i="29" s="1"/>
  <c r="H47" i="29"/>
  <c r="P47" i="29" s="1"/>
  <c r="S46" i="29"/>
  <c r="S48" i="29" s="1"/>
  <c r="K46" i="29"/>
  <c r="K48" i="29" s="1"/>
  <c r="H46" i="29"/>
  <c r="N46" i="29" s="1"/>
  <c r="R43" i="29"/>
  <c r="Q43" i="29"/>
  <c r="M43" i="29"/>
  <c r="L43" i="29"/>
  <c r="J43" i="29"/>
  <c r="I43" i="29"/>
  <c r="G43" i="29"/>
  <c r="E43" i="29"/>
  <c r="S42" i="29"/>
  <c r="O42" i="29"/>
  <c r="N42" i="29"/>
  <c r="K42" i="29"/>
  <c r="H42" i="29"/>
  <c r="P42" i="29" s="1"/>
  <c r="S41" i="29"/>
  <c r="K41" i="29"/>
  <c r="H41" i="29"/>
  <c r="S40" i="29"/>
  <c r="O40" i="29"/>
  <c r="N40" i="29"/>
  <c r="K40" i="29"/>
  <c r="H40" i="29"/>
  <c r="P40" i="29" s="1"/>
  <c r="S39" i="29"/>
  <c r="K39" i="29"/>
  <c r="H39" i="29"/>
  <c r="S38" i="29"/>
  <c r="O38" i="29"/>
  <c r="N38" i="29"/>
  <c r="K38" i="29"/>
  <c r="H38" i="29"/>
  <c r="P38" i="29" s="1"/>
  <c r="S37" i="29"/>
  <c r="K37" i="29"/>
  <c r="H37" i="29"/>
  <c r="S36" i="29"/>
  <c r="O36" i="29"/>
  <c r="N36" i="29"/>
  <c r="K36" i="29"/>
  <c r="H36" i="29"/>
  <c r="P36" i="29" s="1"/>
  <c r="S35" i="29"/>
  <c r="K35" i="29"/>
  <c r="H35" i="29"/>
  <c r="S34" i="29"/>
  <c r="O34" i="29"/>
  <c r="N34" i="29"/>
  <c r="K34" i="29"/>
  <c r="H34" i="29"/>
  <c r="P34" i="29" s="1"/>
  <c r="S33" i="29"/>
  <c r="S43" i="29" s="1"/>
  <c r="K33" i="29"/>
  <c r="K43" i="29" s="1"/>
  <c r="H33" i="29"/>
  <c r="S32" i="29"/>
  <c r="O32" i="29"/>
  <c r="N32" i="29"/>
  <c r="K32" i="29"/>
  <c r="H32" i="29"/>
  <c r="H43" i="29" s="1"/>
  <c r="R29" i="29"/>
  <c r="Q29" i="29"/>
  <c r="M29" i="29"/>
  <c r="L29" i="29"/>
  <c r="J29" i="29"/>
  <c r="I29" i="29"/>
  <c r="G29" i="29"/>
  <c r="E29" i="29"/>
  <c r="S28" i="29"/>
  <c r="K28" i="29"/>
  <c r="H28" i="29"/>
  <c r="N28" i="29" s="1"/>
  <c r="O28" i="29" s="1"/>
  <c r="S27" i="29"/>
  <c r="S29" i="29" s="1"/>
  <c r="K27" i="29"/>
  <c r="K29" i="29" s="1"/>
  <c r="H27" i="29"/>
  <c r="R24" i="29"/>
  <c r="Q24" i="29"/>
  <c r="M24" i="29"/>
  <c r="L24" i="29"/>
  <c r="J24" i="29"/>
  <c r="I24" i="29"/>
  <c r="G24" i="29"/>
  <c r="E24" i="29"/>
  <c r="S23" i="29"/>
  <c r="S24" i="29" s="1"/>
  <c r="K23" i="29"/>
  <c r="K24" i="29" s="1"/>
  <c r="H23" i="29"/>
  <c r="H24" i="29" s="1"/>
  <c r="R20" i="29"/>
  <c r="Q20" i="29"/>
  <c r="M20" i="29"/>
  <c r="L20" i="29"/>
  <c r="J20" i="29"/>
  <c r="I20" i="29"/>
  <c r="G20" i="29"/>
  <c r="E20" i="29"/>
  <c r="S19" i="29"/>
  <c r="N19" i="29"/>
  <c r="K19" i="29"/>
  <c r="O19" i="29" s="1"/>
  <c r="H19" i="29"/>
  <c r="S18" i="29"/>
  <c r="K18" i="29"/>
  <c r="H18" i="29"/>
  <c r="N18" i="29" s="1"/>
  <c r="O18" i="29" s="1"/>
  <c r="S17" i="29"/>
  <c r="N17" i="29"/>
  <c r="K17" i="29"/>
  <c r="O17" i="29" s="1"/>
  <c r="H17" i="29"/>
  <c r="P17" i="29" s="1"/>
  <c r="S16" i="29"/>
  <c r="K16" i="29"/>
  <c r="H16" i="29"/>
  <c r="N16" i="29" s="1"/>
  <c r="O16" i="29" s="1"/>
  <c r="S15" i="29"/>
  <c r="N15" i="29"/>
  <c r="K15" i="29"/>
  <c r="O15" i="29" s="1"/>
  <c r="H15" i="29"/>
  <c r="S14" i="29"/>
  <c r="K14" i="29"/>
  <c r="H14" i="29"/>
  <c r="N14" i="29" s="1"/>
  <c r="O14" i="29" s="1"/>
  <c r="S13" i="29"/>
  <c r="N13" i="29"/>
  <c r="K13" i="29"/>
  <c r="O13" i="29" s="1"/>
  <c r="H13" i="29"/>
  <c r="P13" i="29" s="1"/>
  <c r="S12" i="29"/>
  <c r="S20" i="29" s="1"/>
  <c r="K12" i="29"/>
  <c r="K20" i="29" s="1"/>
  <c r="H12" i="29"/>
  <c r="H20" i="29" s="1"/>
  <c r="R9" i="29"/>
  <c r="R51" i="29" s="1"/>
  <c r="Q9" i="29"/>
  <c r="Q51" i="29" s="1"/>
  <c r="M9" i="29"/>
  <c r="M51" i="29" s="1"/>
  <c r="L9" i="29"/>
  <c r="J9" i="29"/>
  <c r="I9" i="29"/>
  <c r="I51" i="29" s="1"/>
  <c r="G9" i="29"/>
  <c r="G51" i="29" s="1"/>
  <c r="E9" i="29"/>
  <c r="E51" i="29" s="1"/>
  <c r="S8" i="29"/>
  <c r="O8" i="29"/>
  <c r="P8" i="29" s="1"/>
  <c r="K8" i="29"/>
  <c r="S7" i="29"/>
  <c r="K7" i="29"/>
  <c r="H7" i="29"/>
  <c r="N7" i="29" s="1"/>
  <c r="S6" i="29"/>
  <c r="S9" i="29" s="1"/>
  <c r="S51" i="29" s="1"/>
  <c r="K6" i="29"/>
  <c r="H6" i="29"/>
  <c r="N44" i="30" l="1"/>
  <c r="H51" i="30"/>
  <c r="O25" i="30"/>
  <c r="P44" i="30"/>
  <c r="P23" i="30"/>
  <c r="P25" i="30" s="1"/>
  <c r="O44" i="30"/>
  <c r="O39" i="30"/>
  <c r="P8" i="30"/>
  <c r="O8" i="30"/>
  <c r="N19" i="30"/>
  <c r="O11" i="30"/>
  <c r="P28" i="30"/>
  <c r="P39" i="30" s="1"/>
  <c r="J51" i="29"/>
  <c r="P15" i="29"/>
  <c r="P33" i="29"/>
  <c r="N48" i="29"/>
  <c r="O46" i="29"/>
  <c r="O48" i="29" s="1"/>
  <c r="O37" i="29"/>
  <c r="P37" i="29" s="1"/>
  <c r="O41" i="29"/>
  <c r="P41" i="29" s="1"/>
  <c r="O7" i="29"/>
  <c r="P19" i="29"/>
  <c r="K9" i="29"/>
  <c r="K51" i="29" s="1"/>
  <c r="N6" i="29"/>
  <c r="N9" i="29" s="1"/>
  <c r="P7" i="29"/>
  <c r="H9" i="29"/>
  <c r="P14" i="29"/>
  <c r="P16" i="29"/>
  <c r="P18" i="29"/>
  <c r="N23" i="29"/>
  <c r="N24" i="29" s="1"/>
  <c r="N27" i="29"/>
  <c r="N29" i="29" s="1"/>
  <c r="P28" i="29"/>
  <c r="H29" i="29"/>
  <c r="P32" i="29"/>
  <c r="N33" i="29"/>
  <c r="N35" i="29"/>
  <c r="N43" i="29" s="1"/>
  <c r="N37" i="29"/>
  <c r="N39" i="29"/>
  <c r="O39" i="29" s="1"/>
  <c r="P39" i="29" s="1"/>
  <c r="N41" i="29"/>
  <c r="O33" i="29"/>
  <c r="H48" i="29"/>
  <c r="N12" i="29"/>
  <c r="F51" i="24"/>
  <c r="G9" i="24"/>
  <c r="I9" i="24"/>
  <c r="J9" i="24"/>
  <c r="L9" i="24"/>
  <c r="M9" i="24"/>
  <c r="Q9" i="24"/>
  <c r="R9" i="24"/>
  <c r="E9" i="24"/>
  <c r="S8" i="24"/>
  <c r="K8" i="24"/>
  <c r="O8" i="24" s="1"/>
  <c r="P8" i="24" s="1"/>
  <c r="F51" i="27"/>
  <c r="G9" i="27"/>
  <c r="I9" i="27"/>
  <c r="J9" i="27"/>
  <c r="L9" i="27"/>
  <c r="M9" i="27"/>
  <c r="Q9" i="27"/>
  <c r="R9" i="27"/>
  <c r="E9" i="27"/>
  <c r="S8" i="27"/>
  <c r="K8" i="27"/>
  <c r="O8" i="27" s="1"/>
  <c r="P8" i="27" s="1"/>
  <c r="I9" i="28"/>
  <c r="J9" i="28"/>
  <c r="L9" i="28"/>
  <c r="M9" i="28"/>
  <c r="Q9" i="28"/>
  <c r="R9" i="28"/>
  <c r="E9" i="28"/>
  <c r="S8" i="28"/>
  <c r="O8" i="28"/>
  <c r="P8" i="28" s="1"/>
  <c r="K8" i="28"/>
  <c r="N51" i="30" l="1"/>
  <c r="O19" i="30"/>
  <c r="O51" i="30" s="1"/>
  <c r="P11" i="30"/>
  <c r="P19" i="30" s="1"/>
  <c r="P51" i="30" s="1"/>
  <c r="P46" i="29"/>
  <c r="P48" i="29" s="1"/>
  <c r="O27" i="29"/>
  <c r="O29" i="29" s="1"/>
  <c r="O43" i="29"/>
  <c r="O12" i="29"/>
  <c r="N20" i="29"/>
  <c r="O23" i="29"/>
  <c r="H51" i="29"/>
  <c r="O35" i="29"/>
  <c r="P35" i="29" s="1"/>
  <c r="P43" i="29" s="1"/>
  <c r="N51" i="29"/>
  <c r="O6" i="29"/>
  <c r="K23" i="28"/>
  <c r="P27" i="29" l="1"/>
  <c r="P29" i="29" s="1"/>
  <c r="O9" i="29"/>
  <c r="P6" i="29"/>
  <c r="P9" i="29" s="1"/>
  <c r="O24" i="29"/>
  <c r="P23" i="29"/>
  <c r="P24" i="29" s="1"/>
  <c r="O20" i="29"/>
  <c r="P12" i="29"/>
  <c r="P20" i="29" s="1"/>
  <c r="R48" i="28"/>
  <c r="Q48" i="28"/>
  <c r="M48" i="28"/>
  <c r="L48" i="28"/>
  <c r="J48" i="28"/>
  <c r="I48" i="28"/>
  <c r="G48" i="28"/>
  <c r="E48" i="28"/>
  <c r="S47" i="28"/>
  <c r="H47" i="28"/>
  <c r="N47" i="28" s="1"/>
  <c r="O47" i="28" s="1"/>
  <c r="P47" i="28" s="1"/>
  <c r="S46" i="28"/>
  <c r="S48" i="28" s="1"/>
  <c r="K46" i="28"/>
  <c r="K48" i="28" s="1"/>
  <c r="H46" i="28"/>
  <c r="R43" i="28"/>
  <c r="Q43" i="28"/>
  <c r="M43" i="28"/>
  <c r="L43" i="28"/>
  <c r="J43" i="28"/>
  <c r="I43" i="28"/>
  <c r="G43" i="28"/>
  <c r="E43" i="28"/>
  <c r="S42" i="28"/>
  <c r="K42" i="28"/>
  <c r="H42" i="28"/>
  <c r="N42" i="28" s="1"/>
  <c r="S41" i="28"/>
  <c r="K41" i="28"/>
  <c r="H41" i="28"/>
  <c r="N41" i="28" s="1"/>
  <c r="O41" i="28" s="1"/>
  <c r="S40" i="28"/>
  <c r="K40" i="28"/>
  <c r="H40" i="28"/>
  <c r="N40" i="28" s="1"/>
  <c r="S39" i="28"/>
  <c r="K39" i="28"/>
  <c r="H39" i="28"/>
  <c r="N39" i="28" s="1"/>
  <c r="S38" i="28"/>
  <c r="K38" i="28"/>
  <c r="H38" i="28"/>
  <c r="N38" i="28" s="1"/>
  <c r="S37" i="28"/>
  <c r="K37" i="28"/>
  <c r="H37" i="28"/>
  <c r="N37" i="28" s="1"/>
  <c r="O37" i="28" s="1"/>
  <c r="S36" i="28"/>
  <c r="K36" i="28"/>
  <c r="H36" i="28"/>
  <c r="N36" i="28" s="1"/>
  <c r="S35" i="28"/>
  <c r="N35" i="28"/>
  <c r="O35" i="28" s="1"/>
  <c r="K35" i="28"/>
  <c r="H35" i="28"/>
  <c r="S34" i="28"/>
  <c r="K34" i="28"/>
  <c r="H34" i="28"/>
  <c r="N34" i="28" s="1"/>
  <c r="S33" i="28"/>
  <c r="K33" i="28"/>
  <c r="H33" i="28"/>
  <c r="N33" i="28" s="1"/>
  <c r="O33" i="28" s="1"/>
  <c r="S32" i="28"/>
  <c r="K32" i="28"/>
  <c r="H32" i="28"/>
  <c r="N32" i="28" s="1"/>
  <c r="R29" i="28"/>
  <c r="Q29" i="28"/>
  <c r="M29" i="28"/>
  <c r="L29" i="28"/>
  <c r="J29" i="28"/>
  <c r="I29" i="28"/>
  <c r="G29" i="28"/>
  <c r="E29" i="28"/>
  <c r="S28" i="28"/>
  <c r="K28" i="28"/>
  <c r="H28" i="28"/>
  <c r="N28" i="28" s="1"/>
  <c r="S27" i="28"/>
  <c r="K27" i="28"/>
  <c r="K29" i="28" s="1"/>
  <c r="H27" i="28"/>
  <c r="N27" i="28" s="1"/>
  <c r="R24" i="28"/>
  <c r="Q24" i="28"/>
  <c r="M24" i="28"/>
  <c r="L24" i="28"/>
  <c r="K24" i="28"/>
  <c r="J24" i="28"/>
  <c r="I24" i="28"/>
  <c r="G24" i="28"/>
  <c r="E24" i="28"/>
  <c r="S23" i="28"/>
  <c r="S24" i="28" s="1"/>
  <c r="H23" i="28"/>
  <c r="H24" i="28" s="1"/>
  <c r="R20" i="28"/>
  <c r="R51" i="28" s="1"/>
  <c r="Q20" i="28"/>
  <c r="Q51" i="28" s="1"/>
  <c r="M20" i="28"/>
  <c r="L20" i="28"/>
  <c r="L51" i="28" s="1"/>
  <c r="J20" i="28"/>
  <c r="J51" i="28" s="1"/>
  <c r="I20" i="28"/>
  <c r="I51" i="28" s="1"/>
  <c r="G20" i="28"/>
  <c r="E20" i="28"/>
  <c r="E51" i="28" s="1"/>
  <c r="S19" i="28"/>
  <c r="K19" i="28"/>
  <c r="H19" i="28"/>
  <c r="S18" i="28"/>
  <c r="K18" i="28"/>
  <c r="H18" i="28"/>
  <c r="N18" i="28" s="1"/>
  <c r="S17" i="28"/>
  <c r="K17" i="28"/>
  <c r="H17" i="28"/>
  <c r="N17" i="28" s="1"/>
  <c r="S16" i="28"/>
  <c r="K16" i="28"/>
  <c r="H16" i="28"/>
  <c r="N16" i="28" s="1"/>
  <c r="S15" i="28"/>
  <c r="K15" i="28"/>
  <c r="H15" i="28"/>
  <c r="N15" i="28" s="1"/>
  <c r="O15" i="28" s="1"/>
  <c r="S14" i="28"/>
  <c r="K14" i="28"/>
  <c r="H14" i="28"/>
  <c r="N14" i="28" s="1"/>
  <c r="S13" i="28"/>
  <c r="K13" i="28"/>
  <c r="H13" i="28"/>
  <c r="N13" i="28" s="1"/>
  <c r="S12" i="28"/>
  <c r="K12" i="28"/>
  <c r="H12" i="28"/>
  <c r="G9" i="28"/>
  <c r="G51" i="28" s="1"/>
  <c r="S7" i="28"/>
  <c r="K7" i="28"/>
  <c r="H7" i="28"/>
  <c r="N7" i="28" s="1"/>
  <c r="S6" i="28"/>
  <c r="S9" i="28" s="1"/>
  <c r="K6" i="28"/>
  <c r="H6" i="28"/>
  <c r="H9" i="28" s="1"/>
  <c r="Q28" i="8"/>
  <c r="P51" i="29" l="1"/>
  <c r="O51" i="29"/>
  <c r="K9" i="28"/>
  <c r="O16" i="28"/>
  <c r="P16" i="28" s="1"/>
  <c r="M51" i="28"/>
  <c r="O17" i="28"/>
  <c r="O39" i="28"/>
  <c r="O7" i="28"/>
  <c r="P7" i="28" s="1"/>
  <c r="N6" i="28"/>
  <c r="N9" i="28" s="1"/>
  <c r="N19" i="28"/>
  <c r="O19" i="28" s="1"/>
  <c r="P19" i="28" s="1"/>
  <c r="S29" i="28"/>
  <c r="S20" i="28"/>
  <c r="S51" i="28" s="1"/>
  <c r="K43" i="28"/>
  <c r="S43" i="28"/>
  <c r="O13" i="28"/>
  <c r="P13" i="28" s="1"/>
  <c r="N23" i="28"/>
  <c r="O18" i="28"/>
  <c r="P18" i="28" s="1"/>
  <c r="N43" i="28"/>
  <c r="P35" i="28"/>
  <c r="O14" i="28"/>
  <c r="P14" i="28" s="1"/>
  <c r="P17" i="28"/>
  <c r="O34" i="28"/>
  <c r="P34" i="28" s="1"/>
  <c r="O36" i="28"/>
  <c r="P36" i="28" s="1"/>
  <c r="O38" i="28"/>
  <c r="P38" i="28" s="1"/>
  <c r="O40" i="28"/>
  <c r="P40" i="28" s="1"/>
  <c r="O42" i="28"/>
  <c r="P42" i="28" s="1"/>
  <c r="H43" i="28"/>
  <c r="N46" i="28"/>
  <c r="N48" i="28" s="1"/>
  <c r="H48" i="28"/>
  <c r="O28" i="28"/>
  <c r="P28" i="28" s="1"/>
  <c r="O6" i="28"/>
  <c r="O9" i="28" s="1"/>
  <c r="H20" i="28"/>
  <c r="H51" i="28" s="1"/>
  <c r="N12" i="28"/>
  <c r="N20" i="28" s="1"/>
  <c r="K20" i="28"/>
  <c r="P15" i="28"/>
  <c r="N29" i="28"/>
  <c r="O27" i="28"/>
  <c r="H29" i="28"/>
  <c r="P33" i="28"/>
  <c r="P37" i="28"/>
  <c r="P39" i="28"/>
  <c r="P41" i="28"/>
  <c r="O32" i="28"/>
  <c r="F50" i="22"/>
  <c r="K51" i="28" l="1"/>
  <c r="O29" i="28"/>
  <c r="O12" i="28"/>
  <c r="O20" i="28" s="1"/>
  <c r="P6" i="28"/>
  <c r="P9" i="28" s="1"/>
  <c r="O46" i="28"/>
  <c r="O23" i="28"/>
  <c r="N24" i="28"/>
  <c r="N51" i="28" s="1"/>
  <c r="O43" i="28"/>
  <c r="P32" i="28"/>
  <c r="P43" i="28" s="1"/>
  <c r="P27" i="28"/>
  <c r="P29" i="28" s="1"/>
  <c r="F50" i="18"/>
  <c r="O51" i="28" l="1"/>
  <c r="P12" i="28"/>
  <c r="P20" i="28" s="1"/>
  <c r="O48" i="28"/>
  <c r="P46" i="28"/>
  <c r="P48" i="28" s="1"/>
  <c r="O24" i="28"/>
  <c r="P23" i="28"/>
  <c r="P24" i="28" s="1"/>
  <c r="P51" i="28" s="1"/>
  <c r="H47" i="27"/>
  <c r="N47" i="27" s="1"/>
  <c r="H46" i="27"/>
  <c r="N46" i="27" s="1"/>
  <c r="H33" i="27"/>
  <c r="N33" i="27" s="1"/>
  <c r="H34" i="27"/>
  <c r="N34" i="27" s="1"/>
  <c r="H35" i="27"/>
  <c r="N35" i="27" s="1"/>
  <c r="H36" i="27"/>
  <c r="N36" i="27" s="1"/>
  <c r="H37" i="27"/>
  <c r="N37" i="27" s="1"/>
  <c r="H38" i="27"/>
  <c r="N38" i="27" s="1"/>
  <c r="H39" i="27"/>
  <c r="N39" i="27" s="1"/>
  <c r="H40" i="27"/>
  <c r="N40" i="27" s="1"/>
  <c r="H41" i="27"/>
  <c r="N41" i="27" s="1"/>
  <c r="H42" i="27"/>
  <c r="N42" i="27" s="1"/>
  <c r="H32" i="27"/>
  <c r="N32" i="27" s="1"/>
  <c r="H28" i="27"/>
  <c r="N28" i="27" s="1"/>
  <c r="H27" i="27"/>
  <c r="N27" i="27" s="1"/>
  <c r="H23" i="27"/>
  <c r="N23" i="27" s="1"/>
  <c r="H13" i="27"/>
  <c r="N13" i="27" s="1"/>
  <c r="H14" i="27"/>
  <c r="N14" i="27" s="1"/>
  <c r="H15" i="27"/>
  <c r="N15" i="27" s="1"/>
  <c r="H16" i="27"/>
  <c r="N16" i="27" s="1"/>
  <c r="H17" i="27"/>
  <c r="N17" i="27" s="1"/>
  <c r="H18" i="27"/>
  <c r="N18" i="27" s="1"/>
  <c r="H19" i="27"/>
  <c r="N19" i="27" s="1"/>
  <c r="H12" i="27"/>
  <c r="N12" i="27" s="1"/>
  <c r="R48" i="27" l="1"/>
  <c r="Q48" i="27"/>
  <c r="M48" i="27"/>
  <c r="L48" i="27"/>
  <c r="J48" i="27"/>
  <c r="I48" i="27"/>
  <c r="G48" i="27"/>
  <c r="E48" i="27"/>
  <c r="S47" i="27"/>
  <c r="O47" i="27"/>
  <c r="P47" i="27" s="1"/>
  <c r="S46" i="27"/>
  <c r="S48" i="27" s="1"/>
  <c r="N48" i="27"/>
  <c r="K46" i="27"/>
  <c r="K48" i="27" s="1"/>
  <c r="H48" i="27"/>
  <c r="R43" i="27"/>
  <c r="Q43" i="27"/>
  <c r="M43" i="27"/>
  <c r="L43" i="27"/>
  <c r="J43" i="27"/>
  <c r="I43" i="27"/>
  <c r="G43" i="27"/>
  <c r="E43" i="27"/>
  <c r="S42" i="27"/>
  <c r="K42" i="27"/>
  <c r="O42" i="27" s="1"/>
  <c r="S41" i="27"/>
  <c r="K41" i="27"/>
  <c r="O41" i="27" s="1"/>
  <c r="S40" i="27"/>
  <c r="K40" i="27"/>
  <c r="O40" i="27" s="1"/>
  <c r="S39" i="27"/>
  <c r="K39" i="27"/>
  <c r="O39" i="27" s="1"/>
  <c r="P39" i="27" s="1"/>
  <c r="S38" i="27"/>
  <c r="K38" i="27"/>
  <c r="O38" i="27" s="1"/>
  <c r="S37" i="27"/>
  <c r="K37" i="27"/>
  <c r="O37" i="27" s="1"/>
  <c r="P37" i="27" s="1"/>
  <c r="S36" i="27"/>
  <c r="K36" i="27"/>
  <c r="O36" i="27" s="1"/>
  <c r="P36" i="27" s="1"/>
  <c r="S35" i="27"/>
  <c r="O35" i="27"/>
  <c r="P35" i="27" s="1"/>
  <c r="K35" i="27"/>
  <c r="S34" i="27"/>
  <c r="K34" i="27"/>
  <c r="O34" i="27" s="1"/>
  <c r="P34" i="27" s="1"/>
  <c r="S33" i="27"/>
  <c r="K33" i="27"/>
  <c r="O33" i="27" s="1"/>
  <c r="P33" i="27" s="1"/>
  <c r="S32" i="27"/>
  <c r="S43" i="27" s="1"/>
  <c r="N43" i="27"/>
  <c r="K32" i="27"/>
  <c r="H43" i="27"/>
  <c r="R29" i="27"/>
  <c r="Q29" i="27"/>
  <c r="M29" i="27"/>
  <c r="L29" i="27"/>
  <c r="J29" i="27"/>
  <c r="I29" i="27"/>
  <c r="G29" i="27"/>
  <c r="E29" i="27"/>
  <c r="S28" i="27"/>
  <c r="K28" i="27"/>
  <c r="O28" i="27" s="1"/>
  <c r="H29" i="27"/>
  <c r="S27" i="27"/>
  <c r="N29" i="27"/>
  <c r="K27" i="27"/>
  <c r="K29" i="27" s="1"/>
  <c r="R24" i="27"/>
  <c r="Q24" i="27"/>
  <c r="M24" i="27"/>
  <c r="L24" i="27"/>
  <c r="J24" i="27"/>
  <c r="I24" i="27"/>
  <c r="G24" i="27"/>
  <c r="E24" i="27"/>
  <c r="S23" i="27"/>
  <c r="S24" i="27" s="1"/>
  <c r="N24" i="27"/>
  <c r="K23" i="27"/>
  <c r="O23" i="27" s="1"/>
  <c r="O24" i="27" s="1"/>
  <c r="H24" i="27"/>
  <c r="R20" i="27"/>
  <c r="R51" i="27" s="1"/>
  <c r="Q20" i="27"/>
  <c r="Q51" i="27" s="1"/>
  <c r="M20" i="27"/>
  <c r="M51" i="27" s="1"/>
  <c r="L20" i="27"/>
  <c r="L51" i="27" s="1"/>
  <c r="J20" i="27"/>
  <c r="J51" i="27" s="1"/>
  <c r="I20" i="27"/>
  <c r="I51" i="27" s="1"/>
  <c r="G20" i="27"/>
  <c r="G51" i="27" s="1"/>
  <c r="E20" i="27"/>
  <c r="E51" i="27" s="1"/>
  <c r="S19" i="27"/>
  <c r="K19" i="27"/>
  <c r="O19" i="27" s="1"/>
  <c r="P19" i="27" s="1"/>
  <c r="S18" i="27"/>
  <c r="K18" i="27"/>
  <c r="O18" i="27" s="1"/>
  <c r="S17" i="27"/>
  <c r="K17" i="27"/>
  <c r="O17" i="27" s="1"/>
  <c r="P17" i="27" s="1"/>
  <c r="S16" i="27"/>
  <c r="K16" i="27"/>
  <c r="O16" i="27" s="1"/>
  <c r="S15" i="27"/>
  <c r="K15" i="27"/>
  <c r="O15" i="27" s="1"/>
  <c r="P15" i="27" s="1"/>
  <c r="S14" i="27"/>
  <c r="K14" i="27"/>
  <c r="O14" i="27" s="1"/>
  <c r="P14" i="27" s="1"/>
  <c r="S13" i="27"/>
  <c r="N20" i="27"/>
  <c r="K13" i="27"/>
  <c r="O13" i="27" s="1"/>
  <c r="P13" i="27" s="1"/>
  <c r="S12" i="27"/>
  <c r="S20" i="27" s="1"/>
  <c r="K12" i="27"/>
  <c r="O12" i="27" s="1"/>
  <c r="H20" i="27"/>
  <c r="S7" i="27"/>
  <c r="K7" i="27"/>
  <c r="O7" i="27" s="1"/>
  <c r="H7" i="27"/>
  <c r="N7" i="27" s="1"/>
  <c r="S6" i="27"/>
  <c r="K6" i="27"/>
  <c r="H6" i="27"/>
  <c r="P6" i="27" l="1"/>
  <c r="N6" i="27"/>
  <c r="O6" i="27" s="1"/>
  <c r="K9" i="27"/>
  <c r="O27" i="27"/>
  <c r="P27" i="27" s="1"/>
  <c r="S29" i="27"/>
  <c r="S9" i="27"/>
  <c r="S51" i="27" s="1"/>
  <c r="H9" i="27"/>
  <c r="H51" i="27" s="1"/>
  <c r="N9" i="27"/>
  <c r="N51" i="27" s="1"/>
  <c r="K43" i="27"/>
  <c r="K24" i="27"/>
  <c r="O20" i="27"/>
  <c r="P16" i="27"/>
  <c r="O29" i="27"/>
  <c r="P18" i="27"/>
  <c r="P38" i="27"/>
  <c r="P40" i="27"/>
  <c r="P41" i="27"/>
  <c r="P42" i="27"/>
  <c r="K20" i="27"/>
  <c r="O32" i="27"/>
  <c r="O43" i="27" s="1"/>
  <c r="O46" i="27"/>
  <c r="O48" i="27" s="1"/>
  <c r="P7" i="27"/>
  <c r="P12" i="27"/>
  <c r="P20" i="27" s="1"/>
  <c r="P28" i="27"/>
  <c r="P29" i="27" s="1"/>
  <c r="P23" i="27"/>
  <c r="P24" i="27" s="1"/>
  <c r="O9" i="27" l="1"/>
  <c r="O51" i="27" s="1"/>
  <c r="K51" i="27"/>
  <c r="P46" i="27"/>
  <c r="P48" i="27" s="1"/>
  <c r="P32" i="27"/>
  <c r="P43" i="27" s="1"/>
  <c r="P9" i="27" l="1"/>
  <c r="P51" i="27" s="1"/>
  <c r="S47" i="24"/>
  <c r="N47" i="24"/>
  <c r="O47" i="24" s="1"/>
  <c r="N46" i="24"/>
  <c r="N33" i="24"/>
  <c r="N34" i="24"/>
  <c r="N35" i="24"/>
  <c r="N36" i="24"/>
  <c r="N37" i="24"/>
  <c r="N38" i="24"/>
  <c r="N39" i="24"/>
  <c r="N40" i="24"/>
  <c r="N41" i="24"/>
  <c r="N42" i="24"/>
  <c r="N32" i="24"/>
  <c r="N28" i="24"/>
  <c r="N27" i="24"/>
  <c r="N23" i="24"/>
  <c r="K13" i="24"/>
  <c r="K14" i="24"/>
  <c r="K15" i="24"/>
  <c r="K16" i="24"/>
  <c r="K17" i="24"/>
  <c r="K18" i="24"/>
  <c r="K19" i="24"/>
  <c r="N13" i="24"/>
  <c r="N14" i="24"/>
  <c r="N15" i="24"/>
  <c r="N16" i="24"/>
  <c r="N17" i="24"/>
  <c r="N18" i="24"/>
  <c r="N19" i="24"/>
  <c r="N12" i="24"/>
  <c r="N7" i="24"/>
  <c r="N6" i="24"/>
  <c r="N9" i="24" s="1"/>
  <c r="I48" i="24"/>
  <c r="J48" i="24"/>
  <c r="L48" i="24"/>
  <c r="M48" i="24"/>
  <c r="Q48" i="24"/>
  <c r="R48" i="24"/>
  <c r="G48" i="24"/>
  <c r="E48" i="24"/>
  <c r="H47" i="24"/>
  <c r="P47" i="24" l="1"/>
  <c r="N48" i="24"/>
  <c r="S46" i="24" l="1"/>
  <c r="S48" i="24" s="1"/>
  <c r="K46" i="24"/>
  <c r="K48" i="24" s="1"/>
  <c r="H46" i="24"/>
  <c r="H48" i="24" s="1"/>
  <c r="R43" i="24"/>
  <c r="Q43" i="24"/>
  <c r="M43" i="24"/>
  <c r="L43" i="24"/>
  <c r="J43" i="24"/>
  <c r="I43" i="24"/>
  <c r="G43" i="24"/>
  <c r="E43" i="24"/>
  <c r="S42" i="24"/>
  <c r="K42" i="24"/>
  <c r="H42" i="24"/>
  <c r="S41" i="24"/>
  <c r="K41" i="24"/>
  <c r="O41" i="24" s="1"/>
  <c r="H41" i="24"/>
  <c r="S40" i="24"/>
  <c r="K40" i="24"/>
  <c r="H40" i="24"/>
  <c r="S39" i="24"/>
  <c r="K39" i="24"/>
  <c r="H39" i="24"/>
  <c r="S38" i="24"/>
  <c r="K38" i="24"/>
  <c r="H38" i="24"/>
  <c r="S37" i="24"/>
  <c r="K37" i="24"/>
  <c r="H37" i="24"/>
  <c r="S36" i="24"/>
  <c r="K36" i="24"/>
  <c r="H36" i="24"/>
  <c r="S35" i="24"/>
  <c r="K35" i="24"/>
  <c r="H35" i="24"/>
  <c r="S34" i="24"/>
  <c r="K34" i="24"/>
  <c r="H34" i="24"/>
  <c r="S33" i="24"/>
  <c r="K33" i="24"/>
  <c r="H33" i="24"/>
  <c r="S32" i="24"/>
  <c r="K32" i="24"/>
  <c r="H32" i="24"/>
  <c r="R29" i="24"/>
  <c r="Q29" i="24"/>
  <c r="M29" i="24"/>
  <c r="L29" i="24"/>
  <c r="J29" i="24"/>
  <c r="I29" i="24"/>
  <c r="G29" i="24"/>
  <c r="E29" i="24"/>
  <c r="S28" i="24"/>
  <c r="K28" i="24"/>
  <c r="O28" i="24" s="1"/>
  <c r="H28" i="24"/>
  <c r="S27" i="24"/>
  <c r="K27" i="24"/>
  <c r="H27" i="24"/>
  <c r="R24" i="24"/>
  <c r="Q24" i="24"/>
  <c r="M24" i="24"/>
  <c r="L24" i="24"/>
  <c r="J24" i="24"/>
  <c r="I24" i="24"/>
  <c r="G24" i="24"/>
  <c r="E24" i="24"/>
  <c r="S23" i="24"/>
  <c r="S24" i="24" s="1"/>
  <c r="K23" i="24"/>
  <c r="K24" i="24" s="1"/>
  <c r="H23" i="24"/>
  <c r="H24" i="24" s="1"/>
  <c r="R20" i="24"/>
  <c r="R51" i="24" s="1"/>
  <c r="Q20" i="24"/>
  <c r="M20" i="24"/>
  <c r="M51" i="24" s="1"/>
  <c r="L20" i="24"/>
  <c r="J20" i="24"/>
  <c r="J51" i="24" s="1"/>
  <c r="I20" i="24"/>
  <c r="G20" i="24"/>
  <c r="G51" i="24" s="1"/>
  <c r="E20" i="24"/>
  <c r="S19" i="24"/>
  <c r="H19" i="24"/>
  <c r="S18" i="24"/>
  <c r="H18" i="24"/>
  <c r="S17" i="24"/>
  <c r="H17" i="24"/>
  <c r="S16" i="24"/>
  <c r="H16" i="24"/>
  <c r="S15" i="24"/>
  <c r="H15" i="24"/>
  <c r="S14" i="24"/>
  <c r="O14" i="24"/>
  <c r="H14" i="24"/>
  <c r="S13" i="24"/>
  <c r="H13" i="24"/>
  <c r="S12" i="24"/>
  <c r="K12" i="24"/>
  <c r="H12" i="24"/>
  <c r="S7" i="24"/>
  <c r="K7" i="24"/>
  <c r="H7" i="24"/>
  <c r="S6" i="24"/>
  <c r="K6" i="24"/>
  <c r="K9" i="24" s="1"/>
  <c r="H6" i="24"/>
  <c r="S9" i="24" l="1"/>
  <c r="I51" i="24"/>
  <c r="Q51" i="24"/>
  <c r="K43" i="24"/>
  <c r="E51" i="24"/>
  <c r="L51" i="24"/>
  <c r="H9" i="24"/>
  <c r="K29" i="24"/>
  <c r="H43" i="24"/>
  <c r="S29" i="24"/>
  <c r="S43" i="24"/>
  <c r="O17" i="24"/>
  <c r="P17" i="24" s="1"/>
  <c r="O18" i="24"/>
  <c r="O6" i="24"/>
  <c r="O16" i="24"/>
  <c r="P16" i="24" s="1"/>
  <c r="H20" i="24"/>
  <c r="O33" i="24"/>
  <c r="P33" i="24" s="1"/>
  <c r="O35" i="24"/>
  <c r="P35" i="24" s="1"/>
  <c r="O37" i="24"/>
  <c r="O39" i="24"/>
  <c r="P39" i="24" s="1"/>
  <c r="O7" i="24"/>
  <c r="P7" i="24" s="1"/>
  <c r="K20" i="24"/>
  <c r="K51" i="24" s="1"/>
  <c r="O13" i="24"/>
  <c r="P13" i="24" s="1"/>
  <c r="O15" i="24"/>
  <c r="P15" i="24" s="1"/>
  <c r="P18" i="24"/>
  <c r="O23" i="24"/>
  <c r="O24" i="24" s="1"/>
  <c r="P41" i="24"/>
  <c r="N20" i="24"/>
  <c r="P14" i="24"/>
  <c r="O34" i="24"/>
  <c r="P34" i="24" s="1"/>
  <c r="O36" i="24"/>
  <c r="P36" i="24" s="1"/>
  <c r="O38" i="24"/>
  <c r="P38" i="24" s="1"/>
  <c r="O40" i="24"/>
  <c r="P40" i="24" s="1"/>
  <c r="S20" i="24"/>
  <c r="O19" i="24"/>
  <c r="P19" i="24" s="1"/>
  <c r="O27" i="24"/>
  <c r="O29" i="24" s="1"/>
  <c r="N43" i="24"/>
  <c r="O42" i="24"/>
  <c r="P42" i="24" s="1"/>
  <c r="P27" i="24"/>
  <c r="P28" i="24"/>
  <c r="P37" i="24"/>
  <c r="H29" i="24"/>
  <c r="N29" i="24"/>
  <c r="O32" i="24"/>
  <c r="P32" i="24" s="1"/>
  <c r="O46" i="24"/>
  <c r="O48" i="24" s="1"/>
  <c r="N24" i="24"/>
  <c r="O12" i="24"/>
  <c r="H51" i="24" l="1"/>
  <c r="N51" i="24"/>
  <c r="S51" i="24"/>
  <c r="P6" i="24"/>
  <c r="P9" i="24" s="1"/>
  <c r="O9" i="24"/>
  <c r="O20" i="24"/>
  <c r="P29" i="24"/>
  <c r="P43" i="24"/>
  <c r="P23" i="24"/>
  <c r="P24" i="24" s="1"/>
  <c r="P12" i="24"/>
  <c r="P20" i="24" s="1"/>
  <c r="O43" i="24"/>
  <c r="P46" i="24"/>
  <c r="P48" i="24" s="1"/>
  <c r="R47" i="22"/>
  <c r="Q47" i="22"/>
  <c r="M47" i="22"/>
  <c r="L47" i="22"/>
  <c r="J47" i="22"/>
  <c r="I47" i="22"/>
  <c r="G47" i="22"/>
  <c r="E47" i="22"/>
  <c r="S46" i="22"/>
  <c r="S47" i="22" s="1"/>
  <c r="N46" i="22"/>
  <c r="N47" i="22" s="1"/>
  <c r="K46" i="22"/>
  <c r="K47" i="22" s="1"/>
  <c r="H46" i="22"/>
  <c r="H47" i="22" s="1"/>
  <c r="R43" i="22"/>
  <c r="Q43" i="22"/>
  <c r="M43" i="22"/>
  <c r="L43" i="22"/>
  <c r="J43" i="22"/>
  <c r="I43" i="22"/>
  <c r="G43" i="22"/>
  <c r="E43" i="22"/>
  <c r="S42" i="22"/>
  <c r="O42" i="22"/>
  <c r="N42" i="22"/>
  <c r="K42" i="22"/>
  <c r="H42" i="22"/>
  <c r="S41" i="22"/>
  <c r="N41" i="22"/>
  <c r="K41" i="22"/>
  <c r="O41" i="22" s="1"/>
  <c r="H41" i="22"/>
  <c r="S40" i="22"/>
  <c r="N40" i="22"/>
  <c r="K40" i="22"/>
  <c r="O40" i="22" s="1"/>
  <c r="H40" i="22"/>
  <c r="S39" i="22"/>
  <c r="N39" i="22"/>
  <c r="K39" i="22"/>
  <c r="H39" i="22"/>
  <c r="S38" i="22"/>
  <c r="N38" i="22"/>
  <c r="O38" i="22" s="1"/>
  <c r="K38" i="22"/>
  <c r="H38" i="22"/>
  <c r="P38" i="22" s="1"/>
  <c r="S37" i="22"/>
  <c r="N37" i="22"/>
  <c r="K37" i="22"/>
  <c r="H37" i="22"/>
  <c r="S36" i="22"/>
  <c r="N36" i="22"/>
  <c r="O36" i="22" s="1"/>
  <c r="K36" i="22"/>
  <c r="H36" i="22"/>
  <c r="P36" i="22" s="1"/>
  <c r="S35" i="22"/>
  <c r="N35" i="22"/>
  <c r="K35" i="22"/>
  <c r="H35" i="22"/>
  <c r="S34" i="22"/>
  <c r="N34" i="22"/>
  <c r="O34" i="22" s="1"/>
  <c r="K34" i="22"/>
  <c r="H34" i="22"/>
  <c r="P34" i="22" s="1"/>
  <c r="S33" i="22"/>
  <c r="N33" i="22"/>
  <c r="K33" i="22"/>
  <c r="H33" i="22"/>
  <c r="S32" i="22"/>
  <c r="N32" i="22"/>
  <c r="O32" i="22" s="1"/>
  <c r="K32" i="22"/>
  <c r="H32" i="22"/>
  <c r="H43" i="22" s="1"/>
  <c r="R29" i="22"/>
  <c r="Q29" i="22"/>
  <c r="M29" i="22"/>
  <c r="L29" i="22"/>
  <c r="J29" i="22"/>
  <c r="I29" i="22"/>
  <c r="G29" i="22"/>
  <c r="E29" i="22"/>
  <c r="S28" i="22"/>
  <c r="N28" i="22"/>
  <c r="K28" i="22"/>
  <c r="H28" i="22"/>
  <c r="S27" i="22"/>
  <c r="S29" i="22" s="1"/>
  <c r="N27" i="22"/>
  <c r="K27" i="22"/>
  <c r="H27" i="22"/>
  <c r="H29" i="22" s="1"/>
  <c r="R24" i="22"/>
  <c r="Q24" i="22"/>
  <c r="M24" i="22"/>
  <c r="L24" i="22"/>
  <c r="J24" i="22"/>
  <c r="I24" i="22"/>
  <c r="G24" i="22"/>
  <c r="E24" i="22"/>
  <c r="S23" i="22"/>
  <c r="S24" i="22" s="1"/>
  <c r="N23" i="22"/>
  <c r="K23" i="22"/>
  <c r="H23" i="22"/>
  <c r="H24" i="22" s="1"/>
  <c r="N22" i="22"/>
  <c r="K22" i="22"/>
  <c r="K24" i="22" s="1"/>
  <c r="R19" i="22"/>
  <c r="Q19" i="22"/>
  <c r="M19" i="22"/>
  <c r="L19" i="22"/>
  <c r="J19" i="22"/>
  <c r="I19" i="22"/>
  <c r="G19" i="22"/>
  <c r="E19" i="22"/>
  <c r="S18" i="22"/>
  <c r="O18" i="22"/>
  <c r="N18" i="22"/>
  <c r="K18" i="22"/>
  <c r="H18" i="22"/>
  <c r="S17" i="22"/>
  <c r="N17" i="22"/>
  <c r="K17" i="22"/>
  <c r="O17" i="22" s="1"/>
  <c r="H17" i="22"/>
  <c r="S16" i="22"/>
  <c r="N16" i="22"/>
  <c r="K16" i="22"/>
  <c r="O16" i="22" s="1"/>
  <c r="H16" i="22"/>
  <c r="S15" i="22"/>
  <c r="N15" i="22"/>
  <c r="K15" i="22"/>
  <c r="H15" i="22"/>
  <c r="S14" i="22"/>
  <c r="N14" i="22"/>
  <c r="K14" i="22"/>
  <c r="O14" i="22" s="1"/>
  <c r="H14" i="22"/>
  <c r="S13" i="22"/>
  <c r="N13" i="22"/>
  <c r="H13" i="22"/>
  <c r="S12" i="22"/>
  <c r="N12" i="22"/>
  <c r="K12" i="22"/>
  <c r="O12" i="22" s="1"/>
  <c r="H12" i="22"/>
  <c r="S11" i="22"/>
  <c r="S19" i="22" s="1"/>
  <c r="N11" i="22"/>
  <c r="K11" i="22"/>
  <c r="O11" i="22" s="1"/>
  <c r="H11" i="22"/>
  <c r="R8" i="22"/>
  <c r="R50" i="22" s="1"/>
  <c r="Q8" i="22"/>
  <c r="M8" i="22"/>
  <c r="M50" i="22" s="1"/>
  <c r="L8" i="22"/>
  <c r="J8" i="22"/>
  <c r="J50" i="22" s="1"/>
  <c r="I8" i="22"/>
  <c r="G8" i="22"/>
  <c r="G50" i="22" s="1"/>
  <c r="E8" i="22"/>
  <c r="S7" i="22"/>
  <c r="N7" i="22"/>
  <c r="K7" i="22"/>
  <c r="O7" i="22" s="1"/>
  <c r="H7" i="22"/>
  <c r="S6" i="22"/>
  <c r="N6" i="22"/>
  <c r="K6" i="22"/>
  <c r="O6" i="22" s="1"/>
  <c r="H6" i="22"/>
  <c r="S5" i="22"/>
  <c r="N5" i="22"/>
  <c r="N8" i="22" s="1"/>
  <c r="K5" i="22"/>
  <c r="H5" i="22"/>
  <c r="H8" i="22" s="1"/>
  <c r="O5" i="22" l="1"/>
  <c r="L50" i="22"/>
  <c r="P12" i="22"/>
  <c r="P14" i="22"/>
  <c r="N24" i="22"/>
  <c r="S43" i="22"/>
  <c r="P51" i="24"/>
  <c r="P16" i="22"/>
  <c r="P40" i="22"/>
  <c r="S8" i="22"/>
  <c r="I50" i="22"/>
  <c r="Q50" i="22"/>
  <c r="O15" i="22"/>
  <c r="P15" i="22" s="1"/>
  <c r="P17" i="22"/>
  <c r="P18" i="22"/>
  <c r="O23" i="22"/>
  <c r="O27" i="22"/>
  <c r="K43" i="22"/>
  <c r="O33" i="22"/>
  <c r="P33" i="22" s="1"/>
  <c r="O35" i="22"/>
  <c r="O43" i="22" s="1"/>
  <c r="O37" i="22"/>
  <c r="P37" i="22" s="1"/>
  <c r="O39" i="22"/>
  <c r="P39" i="22" s="1"/>
  <c r="P41" i="22"/>
  <c r="P42" i="22"/>
  <c r="O46" i="22"/>
  <c r="O47" i="22" s="1"/>
  <c r="P6" i="22"/>
  <c r="N29" i="22"/>
  <c r="O51" i="24"/>
  <c r="E50" i="22"/>
  <c r="N19" i="22"/>
  <c r="N50" i="22" s="1"/>
  <c r="O13" i="22"/>
  <c r="P13" i="22" s="1"/>
  <c r="O8" i="22"/>
  <c r="P7" i="22"/>
  <c r="P11" i="22"/>
  <c r="N43" i="22"/>
  <c r="H19" i="22"/>
  <c r="H50" i="22" s="1"/>
  <c r="O28" i="22"/>
  <c r="P28" i="22" s="1"/>
  <c r="K29" i="22"/>
  <c r="K19" i="22"/>
  <c r="P23" i="22"/>
  <c r="P24" i="22" s="1"/>
  <c r="P27" i="22"/>
  <c r="P29" i="22" s="1"/>
  <c r="K8" i="22"/>
  <c r="P32" i="22"/>
  <c r="P46" i="22"/>
  <c r="P47" i="22" s="1"/>
  <c r="P5" i="22"/>
  <c r="P8" i="22" s="1"/>
  <c r="O22" i="22"/>
  <c r="O24" i="22" s="1"/>
  <c r="P35" i="22" l="1"/>
  <c r="P43" i="22" s="1"/>
  <c r="P50" i="22" s="1"/>
  <c r="K50" i="22"/>
  <c r="S50" i="22"/>
  <c r="O19" i="22"/>
  <c r="O50" i="22" s="1"/>
  <c r="P19" i="22"/>
  <c r="O29" i="22"/>
  <c r="R47" i="18" l="1"/>
  <c r="Q47" i="18"/>
  <c r="M47" i="18"/>
  <c r="L47" i="18"/>
  <c r="J47" i="18"/>
  <c r="I47" i="18"/>
  <c r="G47" i="18"/>
  <c r="E47" i="18"/>
  <c r="S46" i="18"/>
  <c r="S47" i="18" s="1"/>
  <c r="N46" i="18"/>
  <c r="N47" i="18" s="1"/>
  <c r="K46" i="18"/>
  <c r="K47" i="18" s="1"/>
  <c r="H46" i="18"/>
  <c r="H47" i="18" s="1"/>
  <c r="R43" i="18"/>
  <c r="Q43" i="18"/>
  <c r="M43" i="18"/>
  <c r="L43" i="18"/>
  <c r="J43" i="18"/>
  <c r="I43" i="18"/>
  <c r="G43" i="18"/>
  <c r="E43" i="18"/>
  <c r="S42" i="18"/>
  <c r="N42" i="18"/>
  <c r="K42" i="18"/>
  <c r="O42" i="18" s="1"/>
  <c r="H42" i="18"/>
  <c r="S41" i="18"/>
  <c r="N41" i="18"/>
  <c r="K41" i="18"/>
  <c r="O41" i="18" s="1"/>
  <c r="H41" i="18"/>
  <c r="S40" i="18"/>
  <c r="N40" i="18"/>
  <c r="K40" i="18"/>
  <c r="H40" i="18"/>
  <c r="S39" i="18"/>
  <c r="N39" i="18"/>
  <c r="K39" i="18"/>
  <c r="O39" i="18" s="1"/>
  <c r="H39" i="18"/>
  <c r="S38" i="18"/>
  <c r="N38" i="18"/>
  <c r="K38" i="18"/>
  <c r="O38" i="18" s="1"/>
  <c r="H38" i="18"/>
  <c r="S37" i="18"/>
  <c r="N37" i="18"/>
  <c r="K37" i="18"/>
  <c r="O37" i="18" s="1"/>
  <c r="H37" i="18"/>
  <c r="S36" i="18"/>
  <c r="N36" i="18"/>
  <c r="K36" i="18"/>
  <c r="H36" i="18"/>
  <c r="S35" i="18"/>
  <c r="N35" i="18"/>
  <c r="K35" i="18"/>
  <c r="O35" i="18" s="1"/>
  <c r="H35" i="18"/>
  <c r="S34" i="18"/>
  <c r="N34" i="18"/>
  <c r="K34" i="18"/>
  <c r="H34" i="18"/>
  <c r="S33" i="18"/>
  <c r="N33" i="18"/>
  <c r="K33" i="18"/>
  <c r="H33" i="18"/>
  <c r="S32" i="18"/>
  <c r="N32" i="18"/>
  <c r="K32" i="18"/>
  <c r="H32" i="18"/>
  <c r="H43" i="18" s="1"/>
  <c r="R29" i="18"/>
  <c r="Q29" i="18"/>
  <c r="M29" i="18"/>
  <c r="L29" i="18"/>
  <c r="J29" i="18"/>
  <c r="I29" i="18"/>
  <c r="G29" i="18"/>
  <c r="E29" i="18"/>
  <c r="S28" i="18"/>
  <c r="N28" i="18"/>
  <c r="K28" i="18"/>
  <c r="H28" i="18"/>
  <c r="S27" i="18"/>
  <c r="S29" i="18" s="1"/>
  <c r="N27" i="18"/>
  <c r="K27" i="18"/>
  <c r="K29" i="18" s="1"/>
  <c r="H27" i="18"/>
  <c r="R24" i="18"/>
  <c r="Q24" i="18"/>
  <c r="M24" i="18"/>
  <c r="L24" i="18"/>
  <c r="J24" i="18"/>
  <c r="I24" i="18"/>
  <c r="G24" i="18"/>
  <c r="E24" i="18"/>
  <c r="S23" i="18"/>
  <c r="S24" i="18" s="1"/>
  <c r="N23" i="18"/>
  <c r="O23" i="18" s="1"/>
  <c r="K23" i="18"/>
  <c r="H23" i="18"/>
  <c r="N22" i="18"/>
  <c r="K22" i="18"/>
  <c r="K24" i="18" s="1"/>
  <c r="R19" i="18"/>
  <c r="Q19" i="18"/>
  <c r="M19" i="18"/>
  <c r="L19" i="18"/>
  <c r="J19" i="18"/>
  <c r="I19" i="18"/>
  <c r="G19" i="18"/>
  <c r="E19" i="18"/>
  <c r="S18" i="18"/>
  <c r="N18" i="18"/>
  <c r="K18" i="18"/>
  <c r="H18" i="18"/>
  <c r="S17" i="18"/>
  <c r="N17" i="18"/>
  <c r="K17" i="18"/>
  <c r="H17" i="18"/>
  <c r="S16" i="18"/>
  <c r="K16" i="18"/>
  <c r="H16" i="18"/>
  <c r="S15" i="18"/>
  <c r="N15" i="18"/>
  <c r="K15" i="18"/>
  <c r="H15" i="18"/>
  <c r="S14" i="18"/>
  <c r="N14" i="18"/>
  <c r="K14" i="18"/>
  <c r="H14" i="18"/>
  <c r="S13" i="18"/>
  <c r="K13" i="18"/>
  <c r="H13" i="18"/>
  <c r="S12" i="18"/>
  <c r="K12" i="18"/>
  <c r="H12" i="18"/>
  <c r="S11" i="18"/>
  <c r="S19" i="18" s="1"/>
  <c r="K11" i="18"/>
  <c r="H11" i="18"/>
  <c r="R8" i="18"/>
  <c r="R50" i="18" s="1"/>
  <c r="Q8" i="18"/>
  <c r="M8" i="18"/>
  <c r="M50" i="18" s="1"/>
  <c r="L8" i="18"/>
  <c r="J8" i="18"/>
  <c r="I8" i="18"/>
  <c r="G8" i="18"/>
  <c r="G50" i="18" s="1"/>
  <c r="E8" i="18"/>
  <c r="S7" i="18"/>
  <c r="K7" i="18"/>
  <c r="O7" i="18" s="1"/>
  <c r="H7" i="18"/>
  <c r="S6" i="18"/>
  <c r="K6" i="18"/>
  <c r="O6" i="18" s="1"/>
  <c r="H6" i="18"/>
  <c r="S5" i="18"/>
  <c r="N8" i="18"/>
  <c r="K5" i="18"/>
  <c r="H5" i="18"/>
  <c r="H8" i="18" s="1"/>
  <c r="L50" i="18" l="1"/>
  <c r="O33" i="18"/>
  <c r="N29" i="18"/>
  <c r="I50" i="18"/>
  <c r="Q50" i="18"/>
  <c r="O15" i="18"/>
  <c r="P15" i="18" s="1"/>
  <c r="O16" i="18"/>
  <c r="O18" i="18"/>
  <c r="N24" i="18"/>
  <c r="J50" i="18"/>
  <c r="P23" i="18"/>
  <c r="P24" i="18" s="1"/>
  <c r="P33" i="18"/>
  <c r="P41" i="18"/>
  <c r="K8" i="18"/>
  <c r="P7" i="18"/>
  <c r="E50" i="18"/>
  <c r="P12" i="18"/>
  <c r="O17" i="18"/>
  <c r="P17" i="18" s="1"/>
  <c r="O28" i="18"/>
  <c r="P35" i="18"/>
  <c r="O40" i="18"/>
  <c r="P42" i="18"/>
  <c r="P6" i="18"/>
  <c r="P18" i="18"/>
  <c r="P14" i="18"/>
  <c r="O27" i="18"/>
  <c r="O29" i="18" s="1"/>
  <c r="N43" i="18"/>
  <c r="P37" i="18"/>
  <c r="S8" i="18"/>
  <c r="N19" i="18"/>
  <c r="N50" i="18" s="1"/>
  <c r="P16" i="18"/>
  <c r="O22" i="18"/>
  <c r="O24" i="18" s="1"/>
  <c r="H29" i="18"/>
  <c r="S43" i="18"/>
  <c r="O36" i="18"/>
  <c r="P39" i="18"/>
  <c r="K43" i="18"/>
  <c r="O34" i="18"/>
  <c r="P34" i="18" s="1"/>
  <c r="K19" i="18"/>
  <c r="P13" i="18"/>
  <c r="P36" i="18"/>
  <c r="P38" i="18"/>
  <c r="P28" i="18"/>
  <c r="P40" i="18"/>
  <c r="H24" i="18"/>
  <c r="H19" i="18"/>
  <c r="H50" i="18" s="1"/>
  <c r="O32" i="18"/>
  <c r="O46" i="18"/>
  <c r="O47" i="18" s="1"/>
  <c r="O5" i="18"/>
  <c r="O8" i="18" s="1"/>
  <c r="P27" i="18" l="1"/>
  <c r="P29" i="18" s="1"/>
  <c r="P5" i="18"/>
  <c r="P8" i="18" s="1"/>
  <c r="S50" i="18"/>
  <c r="K50" i="18"/>
  <c r="P46" i="18"/>
  <c r="P47" i="18" s="1"/>
  <c r="O43" i="18"/>
  <c r="O19" i="18"/>
  <c r="P32" i="18"/>
  <c r="P43" i="18" s="1"/>
  <c r="P11" i="18"/>
  <c r="P19" i="18" s="1"/>
  <c r="O50" i="18" l="1"/>
  <c r="P50" i="18"/>
  <c r="Q47" i="16"/>
  <c r="P47" i="16"/>
  <c r="L47" i="16"/>
  <c r="K47" i="16"/>
  <c r="I47" i="16"/>
  <c r="H47" i="16"/>
  <c r="F47" i="16"/>
  <c r="E47" i="16"/>
  <c r="R46" i="16"/>
  <c r="R47" i="16" s="1"/>
  <c r="M46" i="16"/>
  <c r="M47" i="16" s="1"/>
  <c r="J46" i="16"/>
  <c r="J47" i="16" s="1"/>
  <c r="G46" i="16"/>
  <c r="G47" i="16" s="1"/>
  <c r="Q43" i="16"/>
  <c r="P43" i="16"/>
  <c r="L43" i="16"/>
  <c r="K43" i="16"/>
  <c r="I43" i="16"/>
  <c r="H43" i="16"/>
  <c r="F43" i="16"/>
  <c r="E43" i="16"/>
  <c r="R42" i="16"/>
  <c r="M42" i="16"/>
  <c r="J42" i="16"/>
  <c r="N42" i="16" s="1"/>
  <c r="G42" i="16"/>
  <c r="R41" i="16"/>
  <c r="M41" i="16"/>
  <c r="J41" i="16"/>
  <c r="N41" i="16" s="1"/>
  <c r="G41" i="16"/>
  <c r="R40" i="16"/>
  <c r="M40" i="16"/>
  <c r="J40" i="16"/>
  <c r="N40" i="16" s="1"/>
  <c r="G40" i="16"/>
  <c r="R39" i="16"/>
  <c r="M39" i="16"/>
  <c r="J39" i="16"/>
  <c r="N39" i="16" s="1"/>
  <c r="G39" i="16"/>
  <c r="R38" i="16"/>
  <c r="M38" i="16"/>
  <c r="J38" i="16"/>
  <c r="N38" i="16" s="1"/>
  <c r="G38" i="16"/>
  <c r="R37" i="16"/>
  <c r="M37" i="16"/>
  <c r="J37" i="16"/>
  <c r="G37" i="16"/>
  <c r="R36" i="16"/>
  <c r="M36" i="16"/>
  <c r="J36" i="16"/>
  <c r="G36" i="16"/>
  <c r="R35" i="16"/>
  <c r="M35" i="16"/>
  <c r="J35" i="16"/>
  <c r="N35" i="16" s="1"/>
  <c r="G35" i="16"/>
  <c r="R34" i="16"/>
  <c r="M34" i="16"/>
  <c r="J34" i="16"/>
  <c r="G34" i="16"/>
  <c r="R33" i="16"/>
  <c r="M33" i="16"/>
  <c r="J33" i="16"/>
  <c r="N33" i="16" s="1"/>
  <c r="G33" i="16"/>
  <c r="R32" i="16"/>
  <c r="M32" i="16"/>
  <c r="J32" i="16"/>
  <c r="G32" i="16"/>
  <c r="Q29" i="16"/>
  <c r="P29" i="16"/>
  <c r="L29" i="16"/>
  <c r="K29" i="16"/>
  <c r="I29" i="16"/>
  <c r="H29" i="16"/>
  <c r="F29" i="16"/>
  <c r="E29" i="16"/>
  <c r="R28" i="16"/>
  <c r="M28" i="16"/>
  <c r="J28" i="16"/>
  <c r="N28" i="16" s="1"/>
  <c r="G28" i="16"/>
  <c r="R27" i="16"/>
  <c r="R29" i="16" s="1"/>
  <c r="M27" i="16"/>
  <c r="J27" i="16"/>
  <c r="J29" i="16" s="1"/>
  <c r="G27" i="16"/>
  <c r="Q24" i="16"/>
  <c r="P24" i="16"/>
  <c r="L24" i="16"/>
  <c r="K24" i="16"/>
  <c r="I24" i="16"/>
  <c r="H24" i="16"/>
  <c r="F24" i="16"/>
  <c r="E24" i="16"/>
  <c r="R23" i="16"/>
  <c r="R24" i="16" s="1"/>
  <c r="M23" i="16"/>
  <c r="J23" i="16"/>
  <c r="N23" i="16" s="1"/>
  <c r="G23" i="16"/>
  <c r="M22" i="16"/>
  <c r="J22" i="16"/>
  <c r="Q19" i="16"/>
  <c r="P19" i="16"/>
  <c r="L19" i="16"/>
  <c r="K19" i="16"/>
  <c r="I19" i="16"/>
  <c r="H19" i="16"/>
  <c r="F19" i="16"/>
  <c r="E19" i="16"/>
  <c r="R18" i="16"/>
  <c r="M18" i="16"/>
  <c r="J18" i="16"/>
  <c r="N18" i="16" s="1"/>
  <c r="G18" i="16"/>
  <c r="R17" i="16"/>
  <c r="M17" i="16"/>
  <c r="J17" i="16"/>
  <c r="N17" i="16" s="1"/>
  <c r="G17" i="16"/>
  <c r="R16" i="16"/>
  <c r="M16" i="16"/>
  <c r="J16" i="16"/>
  <c r="N16" i="16" s="1"/>
  <c r="G16" i="16"/>
  <c r="R15" i="16"/>
  <c r="M15" i="16"/>
  <c r="J15" i="16"/>
  <c r="N15" i="16" s="1"/>
  <c r="G15" i="16"/>
  <c r="R14" i="16"/>
  <c r="M14" i="16"/>
  <c r="J14" i="16"/>
  <c r="G14" i="16"/>
  <c r="R13" i="16"/>
  <c r="M13" i="16"/>
  <c r="J13" i="16"/>
  <c r="G13" i="16"/>
  <c r="R12" i="16"/>
  <c r="M12" i="16"/>
  <c r="J12" i="16"/>
  <c r="N12" i="16" s="1"/>
  <c r="G12" i="16"/>
  <c r="R11" i="16"/>
  <c r="M11" i="16"/>
  <c r="J11" i="16"/>
  <c r="G11" i="16"/>
  <c r="Q8" i="16"/>
  <c r="Q50" i="16" s="1"/>
  <c r="P8" i="16"/>
  <c r="P50" i="16" s="1"/>
  <c r="L8" i="16"/>
  <c r="L50" i="16" s="1"/>
  <c r="K8" i="16"/>
  <c r="K50" i="16" s="1"/>
  <c r="I8" i="16"/>
  <c r="I50" i="16" s="1"/>
  <c r="H8" i="16"/>
  <c r="H50" i="16" s="1"/>
  <c r="F8" i="16"/>
  <c r="F50" i="16" s="1"/>
  <c r="E8" i="16"/>
  <c r="R7" i="16"/>
  <c r="M7" i="16"/>
  <c r="J7" i="16"/>
  <c r="N7" i="16" s="1"/>
  <c r="G7" i="16"/>
  <c r="R6" i="16"/>
  <c r="M6" i="16"/>
  <c r="J6" i="16"/>
  <c r="N6" i="16" s="1"/>
  <c r="G6" i="16"/>
  <c r="R5" i="16"/>
  <c r="M5" i="16"/>
  <c r="M8" i="16" s="1"/>
  <c r="J5" i="16"/>
  <c r="J8" i="16" s="1"/>
  <c r="G5" i="16"/>
  <c r="G8" i="16" s="1"/>
  <c r="O7" i="16" l="1"/>
  <c r="N22" i="16"/>
  <c r="O42" i="16"/>
  <c r="M24" i="16"/>
  <c r="M50" i="16" s="1"/>
  <c r="N37" i="16"/>
  <c r="R19" i="16"/>
  <c r="N14" i="16"/>
  <c r="N24" i="16"/>
  <c r="O6" i="16"/>
  <c r="E50" i="16"/>
  <c r="O35" i="16"/>
  <c r="N27" i="16"/>
  <c r="N29" i="16" s="1"/>
  <c r="M29" i="16"/>
  <c r="O37" i="16"/>
  <c r="O18" i="16"/>
  <c r="O23" i="16"/>
  <c r="O24" i="16" s="1"/>
  <c r="O33" i="16"/>
  <c r="O41" i="16"/>
  <c r="O12" i="16"/>
  <c r="J24" i="16"/>
  <c r="O14" i="16"/>
  <c r="R8" i="16"/>
  <c r="R50" i="16" s="1"/>
  <c r="M19" i="16"/>
  <c r="N13" i="16"/>
  <c r="O13" i="16" s="1"/>
  <c r="O16" i="16"/>
  <c r="G29" i="16"/>
  <c r="R43" i="16"/>
  <c r="N36" i="16"/>
  <c r="O36" i="16" s="1"/>
  <c r="O39" i="16"/>
  <c r="J43" i="16"/>
  <c r="G43" i="16"/>
  <c r="M43" i="16"/>
  <c r="N34" i="16"/>
  <c r="O34" i="16" s="1"/>
  <c r="J19" i="16"/>
  <c r="J50" i="16" s="1"/>
  <c r="O15" i="16"/>
  <c r="O38" i="16"/>
  <c r="O17" i="16"/>
  <c r="O28" i="16"/>
  <c r="O40" i="16"/>
  <c r="G24" i="16"/>
  <c r="G19" i="16"/>
  <c r="G50" i="16" s="1"/>
  <c r="N32" i="16"/>
  <c r="N46" i="16"/>
  <c r="N47" i="16" s="1"/>
  <c r="N5" i="16"/>
  <c r="N8" i="16" s="1"/>
  <c r="N11" i="16"/>
  <c r="O27" i="16" l="1"/>
  <c r="O29" i="16" s="1"/>
  <c r="N19" i="16"/>
  <c r="N50" i="16" s="1"/>
  <c r="O46" i="16"/>
  <c r="O47" i="16" s="1"/>
  <c r="N43" i="16"/>
  <c r="O5" i="16"/>
  <c r="O8" i="16" s="1"/>
  <c r="O32" i="16"/>
  <c r="O43" i="16" s="1"/>
  <c r="O11" i="16"/>
  <c r="O19" i="16" s="1"/>
  <c r="O50" i="16" l="1"/>
  <c r="R28" i="14"/>
  <c r="J46" i="14" l="1"/>
  <c r="J47" i="14" s="1"/>
  <c r="J33" i="14"/>
  <c r="J34" i="14"/>
  <c r="J35" i="14"/>
  <c r="J36" i="14"/>
  <c r="J37" i="14"/>
  <c r="J38" i="14"/>
  <c r="J39" i="14"/>
  <c r="J40" i="14"/>
  <c r="J41" i="14"/>
  <c r="J42" i="14"/>
  <c r="J32" i="14"/>
  <c r="J28" i="14"/>
  <c r="J27" i="14"/>
  <c r="J23" i="14"/>
  <c r="J22" i="14"/>
  <c r="J6" i="14"/>
  <c r="J7" i="14"/>
  <c r="J5" i="14"/>
  <c r="J11" i="14"/>
  <c r="J12" i="14"/>
  <c r="J13" i="14"/>
  <c r="J14" i="14"/>
  <c r="J15" i="14"/>
  <c r="J16" i="14"/>
  <c r="J18" i="14"/>
  <c r="J17" i="14"/>
  <c r="M13" i="14"/>
  <c r="G13" i="14"/>
  <c r="F8" i="14"/>
  <c r="J24" i="14" l="1"/>
  <c r="J43" i="14"/>
  <c r="J29" i="14"/>
  <c r="J8" i="14"/>
  <c r="J53" i="14" s="1"/>
  <c r="N13" i="14"/>
  <c r="O13" i="14" s="1"/>
  <c r="N14" i="14"/>
  <c r="J19" i="14"/>
  <c r="Q47" i="14"/>
  <c r="P47" i="14"/>
  <c r="L47" i="14"/>
  <c r="K47" i="14"/>
  <c r="I47" i="14"/>
  <c r="H47" i="14"/>
  <c r="F47" i="14"/>
  <c r="E47" i="14"/>
  <c r="R46" i="14"/>
  <c r="R47" i="14" s="1"/>
  <c r="M46" i="14"/>
  <c r="M47" i="14" s="1"/>
  <c r="G46" i="14"/>
  <c r="G47" i="14" s="1"/>
  <c r="Q43" i="14"/>
  <c r="P43" i="14"/>
  <c r="L43" i="14"/>
  <c r="K43" i="14"/>
  <c r="I43" i="14"/>
  <c r="H43" i="14"/>
  <c r="F43" i="14"/>
  <c r="E43" i="14"/>
  <c r="R42" i="14"/>
  <c r="M42" i="14"/>
  <c r="N42" i="14" s="1"/>
  <c r="G42" i="14"/>
  <c r="R41" i="14"/>
  <c r="M41" i="14"/>
  <c r="N41" i="14" s="1"/>
  <c r="G41" i="14"/>
  <c r="R40" i="14"/>
  <c r="M40" i="14"/>
  <c r="N40" i="14" s="1"/>
  <c r="G40" i="14"/>
  <c r="R39" i="14"/>
  <c r="M39" i="14"/>
  <c r="N39" i="14" s="1"/>
  <c r="G39" i="14"/>
  <c r="R38" i="14"/>
  <c r="M38" i="14"/>
  <c r="N38" i="14" s="1"/>
  <c r="G38" i="14"/>
  <c r="R37" i="14"/>
  <c r="M37" i="14"/>
  <c r="N37" i="14" s="1"/>
  <c r="G37" i="14"/>
  <c r="R36" i="14"/>
  <c r="M36" i="14"/>
  <c r="N36" i="14" s="1"/>
  <c r="G36" i="14"/>
  <c r="R35" i="14"/>
  <c r="M35" i="14"/>
  <c r="N35" i="14" s="1"/>
  <c r="G35" i="14"/>
  <c r="R34" i="14"/>
  <c r="M34" i="14"/>
  <c r="N34" i="14" s="1"/>
  <c r="G34" i="14"/>
  <c r="R33" i="14"/>
  <c r="M33" i="14"/>
  <c r="N33" i="14" s="1"/>
  <c r="G33" i="14"/>
  <c r="R32" i="14"/>
  <c r="M32" i="14"/>
  <c r="N32" i="14" s="1"/>
  <c r="G32" i="14"/>
  <c r="Q29" i="14"/>
  <c r="P29" i="14"/>
  <c r="L29" i="14"/>
  <c r="K29" i="14"/>
  <c r="I29" i="14"/>
  <c r="H29" i="14"/>
  <c r="F29" i="14"/>
  <c r="E29" i="14"/>
  <c r="M28" i="14"/>
  <c r="N28" i="14" s="1"/>
  <c r="G28" i="14"/>
  <c r="R27" i="14"/>
  <c r="R29" i="14" s="1"/>
  <c r="M27" i="14"/>
  <c r="G27" i="14"/>
  <c r="Q24" i="14"/>
  <c r="P24" i="14"/>
  <c r="L24" i="14"/>
  <c r="K24" i="14"/>
  <c r="I24" i="14"/>
  <c r="H24" i="14"/>
  <c r="F24" i="14"/>
  <c r="E24" i="14"/>
  <c r="R23" i="14"/>
  <c r="R24" i="14" s="1"/>
  <c r="M23" i="14"/>
  <c r="N23" i="14" s="1"/>
  <c r="G23" i="14"/>
  <c r="G24" i="14" s="1"/>
  <c r="M22" i="14"/>
  <c r="Q19" i="14"/>
  <c r="P19" i="14"/>
  <c r="L19" i="14"/>
  <c r="K19" i="14"/>
  <c r="I19" i="14"/>
  <c r="H19" i="14"/>
  <c r="E19" i="14"/>
  <c r="R18" i="14"/>
  <c r="M18" i="14"/>
  <c r="N18" i="14" s="1"/>
  <c r="G18" i="14"/>
  <c r="R17" i="14"/>
  <c r="M17" i="14"/>
  <c r="N17" i="14" s="1"/>
  <c r="G17" i="14"/>
  <c r="R16" i="14"/>
  <c r="M16" i="14"/>
  <c r="N16" i="14" s="1"/>
  <c r="G16" i="14"/>
  <c r="R15" i="14"/>
  <c r="M15" i="14"/>
  <c r="N15" i="14" s="1"/>
  <c r="G15" i="14"/>
  <c r="R14" i="14"/>
  <c r="M14" i="14"/>
  <c r="G14" i="14"/>
  <c r="R13" i="14"/>
  <c r="F19" i="14"/>
  <c r="F53" i="14" s="1"/>
  <c r="R12" i="14"/>
  <c r="M12" i="14"/>
  <c r="N12" i="14" s="1"/>
  <c r="G12" i="14"/>
  <c r="R11" i="14"/>
  <c r="M11" i="14"/>
  <c r="N11" i="14" s="1"/>
  <c r="G11" i="14"/>
  <c r="Q8" i="14"/>
  <c r="P8" i="14"/>
  <c r="P53" i="14" s="1"/>
  <c r="L8" i="14"/>
  <c r="K8" i="14"/>
  <c r="K53" i="14" s="1"/>
  <c r="I8" i="14"/>
  <c r="H8" i="14"/>
  <c r="H53" i="14" s="1"/>
  <c r="E8" i="14"/>
  <c r="R7" i="14"/>
  <c r="M7" i="14"/>
  <c r="N7" i="14" s="1"/>
  <c r="G7" i="14"/>
  <c r="R6" i="14"/>
  <c r="M6" i="14"/>
  <c r="N6" i="14" s="1"/>
  <c r="G6" i="14"/>
  <c r="R5" i="14"/>
  <c r="M5" i="14"/>
  <c r="N5" i="14" s="1"/>
  <c r="G5" i="14"/>
  <c r="I53" i="14" l="1"/>
  <c r="Q53" i="14"/>
  <c r="L53" i="14"/>
  <c r="M24" i="14"/>
  <c r="N46" i="14"/>
  <c r="M29" i="14"/>
  <c r="O23" i="14"/>
  <c r="O24" i="14" s="1"/>
  <c r="O36" i="14"/>
  <c r="M8" i="14"/>
  <c r="M53" i="14" s="1"/>
  <c r="O14" i="14"/>
  <c r="N22" i="14"/>
  <c r="N24" i="14" s="1"/>
  <c r="N27" i="14"/>
  <c r="O41" i="14"/>
  <c r="R8" i="14"/>
  <c r="M19" i="14"/>
  <c r="O28" i="14"/>
  <c r="O39" i="14"/>
  <c r="O33" i="14"/>
  <c r="O6" i="14"/>
  <c r="M43" i="14"/>
  <c r="O37" i="14"/>
  <c r="O12" i="14"/>
  <c r="R43" i="14"/>
  <c r="O35" i="14"/>
  <c r="O17" i="14"/>
  <c r="O15" i="14"/>
  <c r="R19" i="14"/>
  <c r="O42" i="14"/>
  <c r="O40" i="14"/>
  <c r="O38" i="14"/>
  <c r="O34" i="14"/>
  <c r="O18" i="14"/>
  <c r="E53" i="14"/>
  <c r="O16" i="14"/>
  <c r="O7" i="14"/>
  <c r="G8" i="14"/>
  <c r="G19" i="14"/>
  <c r="G29" i="14"/>
  <c r="G43" i="14"/>
  <c r="L46" i="8"/>
  <c r="L33" i="8"/>
  <c r="L34" i="8"/>
  <c r="L35" i="8"/>
  <c r="L36" i="8"/>
  <c r="L37" i="8"/>
  <c r="L38" i="8"/>
  <c r="L39" i="8"/>
  <c r="L40" i="8"/>
  <c r="L41" i="8"/>
  <c r="L42" i="8"/>
  <c r="L32" i="8"/>
  <c r="L28" i="8"/>
  <c r="L27" i="8"/>
  <c r="Q13" i="8"/>
  <c r="M13" i="8"/>
  <c r="F13" i="8"/>
  <c r="L23" i="8"/>
  <c r="L12" i="8"/>
  <c r="L14" i="8"/>
  <c r="L15" i="8"/>
  <c r="L16" i="8"/>
  <c r="L17" i="8"/>
  <c r="L18" i="8"/>
  <c r="L11" i="8"/>
  <c r="L6" i="8"/>
  <c r="L7" i="8"/>
  <c r="L5" i="8"/>
  <c r="G53" i="14" l="1"/>
  <c r="R53" i="14"/>
  <c r="L19" i="8"/>
  <c r="N47" i="14"/>
  <c r="O46" i="14"/>
  <c r="O47" i="14" s="1"/>
  <c r="N29" i="14"/>
  <c r="O27" i="14"/>
  <c r="O29" i="14" s="1"/>
  <c r="N19" i="14"/>
  <c r="O11" i="14"/>
  <c r="O19" i="14" s="1"/>
  <c r="N43" i="14"/>
  <c r="O32" i="14"/>
  <c r="O43" i="14" s="1"/>
  <c r="N8" i="14"/>
  <c r="N53" i="14" s="1"/>
  <c r="O5" i="14"/>
  <c r="O8" i="14" s="1"/>
  <c r="O53" i="14" s="1"/>
  <c r="N13" i="8"/>
  <c r="G33" i="8"/>
  <c r="G34" i="8"/>
  <c r="G35" i="8"/>
  <c r="G36" i="8"/>
  <c r="G37" i="8"/>
  <c r="G38" i="8"/>
  <c r="G39" i="8"/>
  <c r="G40" i="8"/>
  <c r="G41" i="8"/>
  <c r="G42" i="8"/>
  <c r="G28" i="8"/>
  <c r="G12" i="8"/>
  <c r="G14" i="8"/>
  <c r="G15" i="8"/>
  <c r="G16" i="8"/>
  <c r="G17" i="8"/>
  <c r="G18" i="8"/>
  <c r="G6" i="8"/>
  <c r="G7" i="8"/>
  <c r="E43" i="8" l="1"/>
  <c r="F19" i="8"/>
  <c r="G46" i="8" l="1"/>
  <c r="G47" i="8" s="1"/>
  <c r="G32" i="8"/>
  <c r="G27" i="8"/>
  <c r="G29" i="8" s="1"/>
  <c r="G23" i="8"/>
  <c r="G24" i="8" s="1"/>
  <c r="G11" i="8"/>
  <c r="G19" i="8" s="1"/>
  <c r="G5" i="8"/>
  <c r="F47" i="8"/>
  <c r="F43" i="8"/>
  <c r="F29" i="8"/>
  <c r="F24" i="8"/>
  <c r="F8" i="8"/>
  <c r="F53" i="8" s="1"/>
  <c r="P47" i="8"/>
  <c r="O47" i="8"/>
  <c r="L47" i="8"/>
  <c r="K47" i="8"/>
  <c r="J47" i="8"/>
  <c r="I47" i="8"/>
  <c r="H47" i="8"/>
  <c r="E47" i="8"/>
  <c r="Q46" i="8"/>
  <c r="Q47" i="8" s="1"/>
  <c r="M46" i="8"/>
  <c r="M47" i="8" s="1"/>
  <c r="P43" i="8"/>
  <c r="O43" i="8"/>
  <c r="L43" i="8"/>
  <c r="K43" i="8"/>
  <c r="J43" i="8"/>
  <c r="I43" i="8"/>
  <c r="H43" i="8"/>
  <c r="Q42" i="8"/>
  <c r="M42" i="8"/>
  <c r="Q41" i="8"/>
  <c r="M41" i="8"/>
  <c r="Q40" i="8"/>
  <c r="M40" i="8"/>
  <c r="Q39" i="8"/>
  <c r="M39" i="8"/>
  <c r="Q38" i="8"/>
  <c r="M38" i="8"/>
  <c r="Q37" i="8"/>
  <c r="M37" i="8"/>
  <c r="Q36" i="8"/>
  <c r="M36" i="8"/>
  <c r="Q35" i="8"/>
  <c r="M35" i="8"/>
  <c r="Q34" i="8"/>
  <c r="M34" i="8"/>
  <c r="Q33" i="8"/>
  <c r="M33" i="8"/>
  <c r="Q32" i="8"/>
  <c r="M32" i="8"/>
  <c r="P29" i="8"/>
  <c r="O29" i="8"/>
  <c r="L29" i="8"/>
  <c r="K29" i="8"/>
  <c r="J29" i="8"/>
  <c r="I29" i="8"/>
  <c r="H29" i="8"/>
  <c r="E29" i="8"/>
  <c r="M28" i="8"/>
  <c r="N28" i="8" s="1"/>
  <c r="Q27" i="8"/>
  <c r="Q29" i="8" s="1"/>
  <c r="M27" i="8"/>
  <c r="P24" i="8"/>
  <c r="O24" i="8"/>
  <c r="L24" i="8"/>
  <c r="K24" i="8"/>
  <c r="J24" i="8"/>
  <c r="I24" i="8"/>
  <c r="H24" i="8"/>
  <c r="E24" i="8"/>
  <c r="Q23" i="8"/>
  <c r="Q24" i="8" s="1"/>
  <c r="M23" i="8"/>
  <c r="P19" i="8"/>
  <c r="O19" i="8"/>
  <c r="K19" i="8"/>
  <c r="J19" i="8"/>
  <c r="I19" i="8"/>
  <c r="H19" i="8"/>
  <c r="E19" i="8"/>
  <c r="Q18" i="8"/>
  <c r="M18" i="8"/>
  <c r="Q17" i="8"/>
  <c r="M17" i="8"/>
  <c r="Q16" i="8"/>
  <c r="M16" i="8"/>
  <c r="Q15" i="8"/>
  <c r="M15" i="8"/>
  <c r="Q14" i="8"/>
  <c r="M14" i="8"/>
  <c r="Q12" i="8"/>
  <c r="M12" i="8"/>
  <c r="Q11" i="8"/>
  <c r="M11" i="8"/>
  <c r="P8" i="8"/>
  <c r="O8" i="8"/>
  <c r="L8" i="8"/>
  <c r="L53" i="8" s="1"/>
  <c r="K8" i="8"/>
  <c r="J8" i="8"/>
  <c r="J53" i="8" s="1"/>
  <c r="I8" i="8"/>
  <c r="H8" i="8"/>
  <c r="H53" i="8" s="1"/>
  <c r="E8" i="8"/>
  <c r="Q7" i="8"/>
  <c r="M7" i="8"/>
  <c r="Q6" i="8"/>
  <c r="M6" i="8"/>
  <c r="Q5" i="8"/>
  <c r="Q8" i="8" s="1"/>
  <c r="M5" i="8"/>
  <c r="K53" i="8" l="1"/>
  <c r="O53" i="8"/>
  <c r="P53" i="8"/>
  <c r="I53" i="8"/>
  <c r="E53" i="8"/>
  <c r="M29" i="8"/>
  <c r="N34" i="8"/>
  <c r="N38" i="8"/>
  <c r="N42" i="8"/>
  <c r="G8" i="8"/>
  <c r="G53" i="8" s="1"/>
  <c r="G43" i="8"/>
  <c r="N17" i="8"/>
  <c r="N15" i="8"/>
  <c r="N11" i="8"/>
  <c r="Q19" i="8"/>
  <c r="Q53" i="8" s="1"/>
  <c r="M24" i="8"/>
  <c r="Q43" i="8"/>
  <c r="N40" i="8"/>
  <c r="N36" i="8"/>
  <c r="N14" i="8"/>
  <c r="N46" i="8"/>
  <c r="N47" i="8" s="1"/>
  <c r="N41" i="8"/>
  <c r="N39" i="8"/>
  <c r="N37" i="8"/>
  <c r="N35" i="8"/>
  <c r="M43" i="8"/>
  <c r="N33" i="8"/>
  <c r="N23" i="8"/>
  <c r="N24" i="8" s="1"/>
  <c r="N18" i="8"/>
  <c r="N16" i="8"/>
  <c r="M19" i="8"/>
  <c r="N12" i="8"/>
  <c r="N7" i="8"/>
  <c r="M8" i="8"/>
  <c r="M53" i="8" s="1"/>
  <c r="N6" i="8"/>
  <c r="N5" i="8"/>
  <c r="N27" i="8"/>
  <c r="N29" i="8" s="1"/>
  <c r="N32" i="8"/>
  <c r="N43" i="8" l="1"/>
  <c r="N19" i="8"/>
  <c r="N8" i="8"/>
  <c r="N53" i="8" s="1"/>
  <c r="F18" i="7"/>
  <c r="N53" i="7"/>
  <c r="M51" i="7"/>
  <c r="M52" i="7"/>
  <c r="N52" i="7" s="1"/>
  <c r="M53" i="7"/>
  <c r="M54" i="7"/>
  <c r="N54" i="7" s="1"/>
  <c r="F46" i="7"/>
  <c r="F47" i="7" s="1"/>
  <c r="F42" i="7"/>
  <c r="F41" i="7"/>
  <c r="F40" i="7"/>
  <c r="F39" i="7"/>
  <c r="F38" i="7"/>
  <c r="F37" i="7"/>
  <c r="F36" i="7"/>
  <c r="F35" i="7"/>
  <c r="F34" i="7"/>
  <c r="F33" i="7"/>
  <c r="F32" i="7"/>
  <c r="F23" i="7"/>
  <c r="F27" i="7"/>
  <c r="F29" i="7" s="1"/>
  <c r="F17" i="7"/>
  <c r="F16" i="7"/>
  <c r="F15" i="7"/>
  <c r="F6" i="7"/>
  <c r="F5" i="7"/>
  <c r="L46" i="6"/>
  <c r="L47" i="6" s="1"/>
  <c r="E46" i="6"/>
  <c r="E47" i="6" s="1"/>
  <c r="L33" i="6"/>
  <c r="L34" i="6"/>
  <c r="L35" i="6"/>
  <c r="L36" i="6"/>
  <c r="L37" i="6"/>
  <c r="L38" i="6"/>
  <c r="L39" i="6"/>
  <c r="L40" i="6"/>
  <c r="L41" i="6"/>
  <c r="L42" i="6"/>
  <c r="L32" i="6"/>
  <c r="E42" i="6"/>
  <c r="E41" i="6"/>
  <c r="M41" i="6" s="1"/>
  <c r="E40" i="6"/>
  <c r="E39" i="6"/>
  <c r="E38" i="6"/>
  <c r="E37" i="6"/>
  <c r="M37" i="6" s="1"/>
  <c r="E36" i="6"/>
  <c r="E35" i="6"/>
  <c r="E34" i="6"/>
  <c r="E33" i="6"/>
  <c r="M33" i="6" s="1"/>
  <c r="E32" i="6"/>
  <c r="L28" i="6"/>
  <c r="L27" i="6"/>
  <c r="E27" i="6"/>
  <c r="E29" i="6" s="1"/>
  <c r="L23" i="6"/>
  <c r="L22" i="6"/>
  <c r="L24" i="6" s="1"/>
  <c r="L12" i="6"/>
  <c r="L13" i="6"/>
  <c r="L14" i="6"/>
  <c r="L15" i="6"/>
  <c r="M15" i="6" s="1"/>
  <c r="L16" i="6"/>
  <c r="L11" i="6"/>
  <c r="L6" i="6"/>
  <c r="L7" i="6"/>
  <c r="L5" i="6"/>
  <c r="E18" i="6"/>
  <c r="E17" i="6"/>
  <c r="E16" i="6"/>
  <c r="E15" i="6"/>
  <c r="E14" i="6"/>
  <c r="E13" i="6"/>
  <c r="E12" i="6"/>
  <c r="E11" i="6"/>
  <c r="E7" i="6"/>
  <c r="E6" i="6"/>
  <c r="E5" i="6"/>
  <c r="E8" i="6" s="1"/>
  <c r="E42" i="5"/>
  <c r="E41" i="5"/>
  <c r="E40" i="5"/>
  <c r="E39" i="5"/>
  <c r="E38" i="5"/>
  <c r="E37" i="5"/>
  <c r="E36" i="5"/>
  <c r="E35" i="5"/>
  <c r="E34" i="5"/>
  <c r="E33" i="5"/>
  <c r="E32" i="5"/>
  <c r="Q23" i="7"/>
  <c r="Q24" i="7" s="1"/>
  <c r="M23" i="7"/>
  <c r="M7" i="7"/>
  <c r="Q55" i="7"/>
  <c r="P55" i="7"/>
  <c r="O55" i="7"/>
  <c r="L55" i="7"/>
  <c r="K55" i="7"/>
  <c r="J55" i="7"/>
  <c r="I55" i="7"/>
  <c r="H55" i="7"/>
  <c r="G55" i="7"/>
  <c r="E55" i="7"/>
  <c r="F51" i="7"/>
  <c r="F55" i="7" s="1"/>
  <c r="M50" i="7"/>
  <c r="N50" i="7" s="1"/>
  <c r="P47" i="7"/>
  <c r="O47" i="7"/>
  <c r="L47" i="7"/>
  <c r="K47" i="7"/>
  <c r="J47" i="7"/>
  <c r="I47" i="7"/>
  <c r="H47" i="7"/>
  <c r="G47" i="7"/>
  <c r="E47" i="7"/>
  <c r="Q46" i="7"/>
  <c r="Q47" i="7" s="1"/>
  <c r="M46" i="7"/>
  <c r="P43" i="7"/>
  <c r="O43" i="7"/>
  <c r="L43" i="7"/>
  <c r="K43" i="7"/>
  <c r="J43" i="7"/>
  <c r="I43" i="7"/>
  <c r="H43" i="7"/>
  <c r="G43" i="7"/>
  <c r="E43" i="7"/>
  <c r="Q42" i="7"/>
  <c r="M42" i="7"/>
  <c r="Q41" i="7"/>
  <c r="M41" i="7"/>
  <c r="Q40" i="7"/>
  <c r="M40" i="7"/>
  <c r="Q39" i="7"/>
  <c r="M39" i="7"/>
  <c r="N39" i="7" s="1"/>
  <c r="Q38" i="7"/>
  <c r="M38" i="7"/>
  <c r="Q37" i="7"/>
  <c r="M37" i="7"/>
  <c r="Q36" i="7"/>
  <c r="M36" i="7"/>
  <c r="Q35" i="7"/>
  <c r="M35" i="7"/>
  <c r="N35" i="7" s="1"/>
  <c r="Q34" i="7"/>
  <c r="M34" i="7"/>
  <c r="Q33" i="7"/>
  <c r="M33" i="7"/>
  <c r="Q32" i="7"/>
  <c r="Q43" i="7" s="1"/>
  <c r="M32" i="7"/>
  <c r="P29" i="7"/>
  <c r="O29" i="7"/>
  <c r="L29" i="7"/>
  <c r="K29" i="7"/>
  <c r="J29" i="7"/>
  <c r="I29" i="7"/>
  <c r="H29" i="7"/>
  <c r="G29" i="7"/>
  <c r="E29" i="7"/>
  <c r="M28" i="7"/>
  <c r="Q27" i="7"/>
  <c r="Q29" i="7" s="1"/>
  <c r="M27" i="7"/>
  <c r="P24" i="7"/>
  <c r="O24" i="7"/>
  <c r="L24" i="7"/>
  <c r="K24" i="7"/>
  <c r="J24" i="7"/>
  <c r="I24" i="7"/>
  <c r="H24" i="7"/>
  <c r="G24" i="7"/>
  <c r="E24" i="7"/>
  <c r="M22" i="7"/>
  <c r="P19" i="7"/>
  <c r="O19" i="7"/>
  <c r="L19" i="7"/>
  <c r="K19" i="7"/>
  <c r="J19" i="7"/>
  <c r="I19" i="7"/>
  <c r="H19" i="7"/>
  <c r="G19" i="7"/>
  <c r="E19" i="7"/>
  <c r="Q18" i="7"/>
  <c r="M18" i="7"/>
  <c r="Q17" i="7"/>
  <c r="M17" i="7"/>
  <c r="Q16" i="7"/>
  <c r="M16" i="7"/>
  <c r="Q15" i="7"/>
  <c r="M15" i="7"/>
  <c r="Q14" i="7"/>
  <c r="M14" i="7"/>
  <c r="F14" i="7"/>
  <c r="Q13" i="7"/>
  <c r="M13" i="7"/>
  <c r="F13" i="7"/>
  <c r="Q12" i="7"/>
  <c r="M12" i="7"/>
  <c r="F12" i="7"/>
  <c r="Q11" i="7"/>
  <c r="M11" i="7"/>
  <c r="F11" i="7"/>
  <c r="P8" i="7"/>
  <c r="O8" i="7"/>
  <c r="L8" i="7"/>
  <c r="K8" i="7"/>
  <c r="J8" i="7"/>
  <c r="I8" i="7"/>
  <c r="H8" i="7"/>
  <c r="G8" i="7"/>
  <c r="E8" i="7"/>
  <c r="Q7" i="7"/>
  <c r="F7" i="7"/>
  <c r="Q6" i="7"/>
  <c r="M6" i="7"/>
  <c r="Q5" i="7"/>
  <c r="M5" i="7"/>
  <c r="L50" i="5"/>
  <c r="L52" i="5"/>
  <c r="L53" i="5"/>
  <c r="L54" i="5"/>
  <c r="L46" i="5"/>
  <c r="L47" i="5" s="1"/>
  <c r="L33" i="5"/>
  <c r="L34" i="5"/>
  <c r="L35" i="5"/>
  <c r="L36" i="5"/>
  <c r="L37" i="5"/>
  <c r="L38" i="5"/>
  <c r="L39" i="5"/>
  <c r="L40" i="5"/>
  <c r="L41" i="5"/>
  <c r="L42" i="5"/>
  <c r="L32" i="5"/>
  <c r="L28" i="5"/>
  <c r="L27" i="5"/>
  <c r="L23" i="5"/>
  <c r="L22" i="5"/>
  <c r="L6" i="5"/>
  <c r="L5" i="5"/>
  <c r="L12" i="5"/>
  <c r="L13" i="5"/>
  <c r="L14" i="5"/>
  <c r="L15" i="5"/>
  <c r="L16" i="5"/>
  <c r="L11" i="5"/>
  <c r="P55" i="6"/>
  <c r="O55" i="6"/>
  <c r="N55" i="6"/>
  <c r="K55" i="6"/>
  <c r="J55" i="6"/>
  <c r="I55" i="6"/>
  <c r="H55" i="6"/>
  <c r="G55" i="6"/>
  <c r="F55" i="6"/>
  <c r="D55" i="6"/>
  <c r="L51" i="6"/>
  <c r="L55" i="6" s="1"/>
  <c r="E51" i="6"/>
  <c r="O47" i="6"/>
  <c r="N47" i="6"/>
  <c r="K47" i="6"/>
  <c r="J47" i="6"/>
  <c r="I47" i="6"/>
  <c r="H47" i="6"/>
  <c r="G47" i="6"/>
  <c r="F47" i="6"/>
  <c r="D47" i="6"/>
  <c r="P46" i="6"/>
  <c r="P47" i="6" s="1"/>
  <c r="O43" i="6"/>
  <c r="N43" i="6"/>
  <c r="K43" i="6"/>
  <c r="J43" i="6"/>
  <c r="I43" i="6"/>
  <c r="H43" i="6"/>
  <c r="G43" i="6"/>
  <c r="F43" i="6"/>
  <c r="D43" i="6"/>
  <c r="P42" i="6"/>
  <c r="P41" i="6"/>
  <c r="P40" i="6"/>
  <c r="P39" i="6"/>
  <c r="P38" i="6"/>
  <c r="P37" i="6"/>
  <c r="P36" i="6"/>
  <c r="P35" i="6"/>
  <c r="M35" i="6"/>
  <c r="P34" i="6"/>
  <c r="P33" i="6"/>
  <c r="P32" i="6"/>
  <c r="O29" i="6"/>
  <c r="N29" i="6"/>
  <c r="K29" i="6"/>
  <c r="J29" i="6"/>
  <c r="I29" i="6"/>
  <c r="H29" i="6"/>
  <c r="G29" i="6"/>
  <c r="F29" i="6"/>
  <c r="D29" i="6"/>
  <c r="P27" i="6"/>
  <c r="P29" i="6" s="1"/>
  <c r="P24" i="6"/>
  <c r="O24" i="6"/>
  <c r="N24" i="6"/>
  <c r="M24" i="6"/>
  <c r="K24" i="6"/>
  <c r="J24" i="6"/>
  <c r="I24" i="6"/>
  <c r="H24" i="6"/>
  <c r="G24" i="6"/>
  <c r="F24" i="6"/>
  <c r="E24" i="6"/>
  <c r="D24" i="6"/>
  <c r="O19" i="6"/>
  <c r="N19" i="6"/>
  <c r="K19" i="6"/>
  <c r="J19" i="6"/>
  <c r="I19" i="6"/>
  <c r="H19" i="6"/>
  <c r="G19" i="6"/>
  <c r="F19" i="6"/>
  <c r="D19" i="6"/>
  <c r="P18" i="6"/>
  <c r="L18" i="6"/>
  <c r="P17" i="6"/>
  <c r="L17" i="6"/>
  <c r="M17" i="6" s="1"/>
  <c r="P16" i="6"/>
  <c r="P15" i="6"/>
  <c r="M13" i="6"/>
  <c r="O8" i="6"/>
  <c r="N8" i="6"/>
  <c r="K8" i="6"/>
  <c r="J8" i="6"/>
  <c r="I8" i="6"/>
  <c r="H8" i="6"/>
  <c r="G8" i="6"/>
  <c r="F8" i="6"/>
  <c r="D8" i="6"/>
  <c r="P7" i="6"/>
  <c r="P6" i="6"/>
  <c r="P5" i="6"/>
  <c r="N55" i="5"/>
  <c r="O55" i="5"/>
  <c r="P55" i="5"/>
  <c r="N47" i="5"/>
  <c r="O47" i="5"/>
  <c r="P46" i="5"/>
  <c r="P47" i="5" s="1"/>
  <c r="N43" i="5"/>
  <c r="O43" i="5"/>
  <c r="P42" i="5"/>
  <c r="P41" i="5"/>
  <c r="P40" i="5"/>
  <c r="P39" i="5"/>
  <c r="P38" i="5"/>
  <c r="P37" i="5"/>
  <c r="P36" i="5"/>
  <c r="P35" i="5"/>
  <c r="P34" i="5"/>
  <c r="P33" i="5"/>
  <c r="P32" i="5"/>
  <c r="N29" i="5"/>
  <c r="O29" i="5"/>
  <c r="P27" i="5"/>
  <c r="P29" i="5" s="1"/>
  <c r="N24" i="5"/>
  <c r="O24" i="5"/>
  <c r="P24" i="5"/>
  <c r="N19" i="5"/>
  <c r="O19" i="5"/>
  <c r="P18" i="5"/>
  <c r="P17" i="5"/>
  <c r="P16" i="5"/>
  <c r="P15" i="5"/>
  <c r="P14" i="5"/>
  <c r="P13" i="5"/>
  <c r="P12" i="5"/>
  <c r="P11" i="5"/>
  <c r="P6" i="5"/>
  <c r="P7" i="5"/>
  <c r="P5" i="5"/>
  <c r="O8" i="5"/>
  <c r="N8" i="5"/>
  <c r="F55" i="5"/>
  <c r="G55" i="5"/>
  <c r="H55" i="5"/>
  <c r="I55" i="5"/>
  <c r="J55" i="5"/>
  <c r="K55" i="5"/>
  <c r="D55" i="5"/>
  <c r="F47" i="5"/>
  <c r="G47" i="5"/>
  <c r="H47" i="5"/>
  <c r="I47" i="5"/>
  <c r="J47" i="5"/>
  <c r="K47" i="5"/>
  <c r="D47" i="5"/>
  <c r="F43" i="5"/>
  <c r="G43" i="5"/>
  <c r="H43" i="5"/>
  <c r="I43" i="5"/>
  <c r="J43" i="5"/>
  <c r="K43" i="5"/>
  <c r="D43" i="5"/>
  <c r="F29" i="5"/>
  <c r="G29" i="5"/>
  <c r="H29" i="5"/>
  <c r="I29" i="5"/>
  <c r="J29" i="5"/>
  <c r="K29" i="5"/>
  <c r="D29" i="5"/>
  <c r="E24" i="5"/>
  <c r="F24" i="5"/>
  <c r="G24" i="5"/>
  <c r="H24" i="5"/>
  <c r="I24" i="5"/>
  <c r="J24" i="5"/>
  <c r="K24" i="5"/>
  <c r="M24" i="5"/>
  <c r="D24" i="5"/>
  <c r="D19" i="5"/>
  <c r="F19" i="5"/>
  <c r="G19" i="5"/>
  <c r="H19" i="5"/>
  <c r="I19" i="5"/>
  <c r="J19" i="5"/>
  <c r="K19" i="5"/>
  <c r="F8" i="5"/>
  <c r="G8" i="5"/>
  <c r="H8" i="5"/>
  <c r="H58" i="5" s="1"/>
  <c r="I8" i="5"/>
  <c r="J8" i="5"/>
  <c r="K8" i="5"/>
  <c r="D8" i="5"/>
  <c r="D58" i="5" s="1"/>
  <c r="E5" i="5"/>
  <c r="E51" i="5"/>
  <c r="E55" i="5" s="1"/>
  <c r="L51" i="5"/>
  <c r="L17" i="5"/>
  <c r="E16" i="5"/>
  <c r="E17" i="5"/>
  <c r="E6" i="5"/>
  <c r="E7" i="5"/>
  <c r="E11" i="5"/>
  <c r="E12" i="5"/>
  <c r="E13" i="5"/>
  <c r="E14" i="5"/>
  <c r="L18" i="5"/>
  <c r="E18" i="5"/>
  <c r="L7" i="5"/>
  <c r="E15" i="5"/>
  <c r="E27" i="5"/>
  <c r="E29" i="5" s="1"/>
  <c r="E46" i="5"/>
  <c r="E47" i="5" s="1"/>
  <c r="K58" i="5" l="1"/>
  <c r="G58" i="5"/>
  <c r="L24" i="5"/>
  <c r="O58" i="7"/>
  <c r="P58" i="7"/>
  <c r="I58" i="7"/>
  <c r="H58" i="7"/>
  <c r="G58" i="7"/>
  <c r="J58" i="7"/>
  <c r="K58" i="7"/>
  <c r="L58" i="7"/>
  <c r="N58" i="6"/>
  <c r="H58" i="6"/>
  <c r="M11" i="6"/>
  <c r="M16" i="6"/>
  <c r="O58" i="6"/>
  <c r="L29" i="6"/>
  <c r="D58" i="6"/>
  <c r="G58" i="6"/>
  <c r="F58" i="6"/>
  <c r="L43" i="6"/>
  <c r="M36" i="6"/>
  <c r="M40" i="6"/>
  <c r="I58" i="6"/>
  <c r="J58" i="6"/>
  <c r="K58" i="6"/>
  <c r="M51" i="6"/>
  <c r="M55" i="6" s="1"/>
  <c r="O58" i="5"/>
  <c r="F58" i="5"/>
  <c r="J58" i="5"/>
  <c r="I58" i="5"/>
  <c r="N58" i="5"/>
  <c r="M36" i="5"/>
  <c r="P43" i="6"/>
  <c r="M6" i="5"/>
  <c r="N33" i="7"/>
  <c r="N37" i="7"/>
  <c r="N41" i="7"/>
  <c r="M7" i="6"/>
  <c r="P8" i="5"/>
  <c r="E58" i="7"/>
  <c r="M34" i="6"/>
  <c r="M38" i="6"/>
  <c r="M42" i="6"/>
  <c r="P19" i="5"/>
  <c r="P43" i="5"/>
  <c r="P19" i="6"/>
  <c r="N14" i="7"/>
  <c r="N51" i="7"/>
  <c r="N55" i="7" s="1"/>
  <c r="E19" i="5"/>
  <c r="M39" i="6"/>
  <c r="P8" i="6"/>
  <c r="M18" i="6"/>
  <c r="N13" i="7"/>
  <c r="M6" i="6"/>
  <c r="E43" i="6"/>
  <c r="N36" i="7"/>
  <c r="M29" i="7"/>
  <c r="M55" i="7"/>
  <c r="N38" i="7"/>
  <c r="N40" i="7"/>
  <c r="N42" i="7"/>
  <c r="N34" i="7"/>
  <c r="M43" i="7"/>
  <c r="N32" i="7"/>
  <c r="N23" i="7"/>
  <c r="N24" i="7" s="1"/>
  <c r="F24" i="7"/>
  <c r="N15" i="7"/>
  <c r="N16" i="7"/>
  <c r="N18" i="7"/>
  <c r="N17" i="7"/>
  <c r="M12" i="6"/>
  <c r="M14" i="6"/>
  <c r="L8" i="6"/>
  <c r="L19" i="6"/>
  <c r="L29" i="5"/>
  <c r="N46" i="7"/>
  <c r="N47" i="7" s="1"/>
  <c r="M46" i="6"/>
  <c r="M47" i="6" s="1"/>
  <c r="M32" i="6"/>
  <c r="E43" i="5"/>
  <c r="M17" i="5"/>
  <c r="E19" i="6"/>
  <c r="M5" i="6"/>
  <c r="M24" i="7"/>
  <c r="Q19" i="7"/>
  <c r="Q8" i="7"/>
  <c r="M19" i="7"/>
  <c r="N12" i="7"/>
  <c r="N5" i="7"/>
  <c r="N6" i="7"/>
  <c r="M8" i="7"/>
  <c r="N7" i="7"/>
  <c r="N11" i="7"/>
  <c r="F43" i="7"/>
  <c r="M47" i="7"/>
  <c r="F8" i="7"/>
  <c r="F19" i="7"/>
  <c r="N27" i="7"/>
  <c r="N29" i="7" s="1"/>
  <c r="L55" i="5"/>
  <c r="L43" i="5"/>
  <c r="M13" i="5"/>
  <c r="L19" i="5"/>
  <c r="M5" i="5"/>
  <c r="M27" i="6"/>
  <c r="M29" i="6" s="1"/>
  <c r="E55" i="6"/>
  <c r="E58" i="6" s="1"/>
  <c r="L8" i="5"/>
  <c r="M39" i="5"/>
  <c r="M32" i="5"/>
  <c r="M34" i="5"/>
  <c r="M37" i="5"/>
  <c r="M40" i="5"/>
  <c r="M46" i="5"/>
  <c r="M15" i="5"/>
  <c r="M41" i="5"/>
  <c r="M33" i="5"/>
  <c r="M35" i="5"/>
  <c r="M38" i="5"/>
  <c r="M42" i="5"/>
  <c r="M27" i="5"/>
  <c r="M16" i="5"/>
  <c r="M12" i="5"/>
  <c r="M51" i="5"/>
  <c r="E8" i="5"/>
  <c r="M14" i="5"/>
  <c r="M11" i="5"/>
  <c r="M7" i="5"/>
  <c r="M18" i="5"/>
  <c r="F58" i="7" l="1"/>
  <c r="Q58" i="7"/>
  <c r="M58" i="7"/>
  <c r="L58" i="6"/>
  <c r="L58" i="5"/>
  <c r="P58" i="5"/>
  <c r="P58" i="6"/>
  <c r="M29" i="5"/>
  <c r="M55" i="5"/>
  <c r="M47" i="5"/>
  <c r="M8" i="6"/>
  <c r="M43" i="6"/>
  <c r="M19" i="6"/>
  <c r="N43" i="7"/>
  <c r="M8" i="5"/>
  <c r="E58" i="5"/>
  <c r="N19" i="7"/>
  <c r="N8" i="7"/>
  <c r="M43" i="5"/>
  <c r="M19" i="5"/>
  <c r="N58" i="7" l="1"/>
  <c r="M58" i="6"/>
  <c r="M58" i="5"/>
</calcChain>
</file>

<file path=xl/sharedStrings.xml><?xml version="1.0" encoding="utf-8"?>
<sst xmlns="http://schemas.openxmlformats.org/spreadsheetml/2006/main" count="2989" uniqueCount="188">
  <si>
    <t>Nombramiento</t>
  </si>
  <si>
    <t>Jefe Administrativo</t>
  </si>
  <si>
    <t>Jefe de Operación</t>
  </si>
  <si>
    <t>Asistente de Dirección</t>
  </si>
  <si>
    <t>Auxiliar General</t>
  </si>
  <si>
    <t>Velador</t>
  </si>
  <si>
    <t>Médico</t>
  </si>
  <si>
    <t>Tallerista</t>
  </si>
  <si>
    <t>IMSS PATRONAL</t>
  </si>
  <si>
    <t>Código</t>
  </si>
  <si>
    <t>Empleado</t>
  </si>
  <si>
    <t>Sueldo</t>
  </si>
  <si>
    <t>*TOTAL* *PERCEPCIONES*</t>
  </si>
  <si>
    <t>I.S.R. (sp)</t>
  </si>
  <si>
    <t>I.M.S.S.</t>
  </si>
  <si>
    <t>Ajuste al neto</t>
  </si>
  <si>
    <t>Pensiones del Estado</t>
  </si>
  <si>
    <t>*TOTAL* *DEDUCCIONES*</t>
  </si>
  <si>
    <t>SEDAR PAT. PENSIONES DEL ESTADO</t>
  </si>
  <si>
    <t>DEPARTAMENTO 1</t>
  </si>
  <si>
    <t>DIRECCION GENERAL</t>
  </si>
  <si>
    <t>DG01</t>
  </si>
  <si>
    <t>Méndez González Gabriela Elizabeth</t>
  </si>
  <si>
    <t>DG02</t>
  </si>
  <si>
    <t>Serratos Briones Paula Amparo</t>
  </si>
  <si>
    <t>Directora General</t>
  </si>
  <si>
    <t>TOTAL DEPARTAMENTO</t>
  </si>
  <si>
    <t>DEPARTAMENTO 2</t>
  </si>
  <si>
    <t>JEFATURA ADMINISTRATIVA</t>
  </si>
  <si>
    <t>JA01</t>
  </si>
  <si>
    <t>JA02</t>
  </si>
  <si>
    <t>JA03</t>
  </si>
  <si>
    <t>JA04</t>
  </si>
  <si>
    <t>JA05</t>
  </si>
  <si>
    <t>JA06</t>
  </si>
  <si>
    <t>JA07</t>
  </si>
  <si>
    <t>JA08</t>
  </si>
  <si>
    <t>Gómez Alcántar Verónica María</t>
  </si>
  <si>
    <t>Ruvalcaba Velarde Zuria Paulina</t>
  </si>
  <si>
    <t>Vigilante</t>
  </si>
  <si>
    <t>Coordinador Intendencia</t>
  </si>
  <si>
    <t>DG03</t>
  </si>
  <si>
    <t>García De la Torre Elizabeth Antonia</t>
  </si>
  <si>
    <t>DEPARTAMENTO 3</t>
  </si>
  <si>
    <t>AREA MEDICA</t>
  </si>
  <si>
    <t>AM01</t>
  </si>
  <si>
    <t>AM02</t>
  </si>
  <si>
    <t>AREA FISICA</t>
  </si>
  <si>
    <t>AF01</t>
  </si>
  <si>
    <t>AF02</t>
  </si>
  <si>
    <t>DEPARTAMENTO 4</t>
  </si>
  <si>
    <t>AREA ESPECIALIDADES</t>
  </si>
  <si>
    <t>AE01</t>
  </si>
  <si>
    <t>AE02</t>
  </si>
  <si>
    <t>AE03</t>
  </si>
  <si>
    <t>AE04</t>
  </si>
  <si>
    <t>AE05</t>
  </si>
  <si>
    <t>AE06</t>
  </si>
  <si>
    <t>AE07</t>
  </si>
  <si>
    <t>AE08</t>
  </si>
  <si>
    <t>AE09</t>
  </si>
  <si>
    <t>AE10</t>
  </si>
  <si>
    <t>AE11</t>
  </si>
  <si>
    <t>DEPARTAMENTO 5</t>
  </si>
  <si>
    <t>AREA TALLERES</t>
  </si>
  <si>
    <t>AT01</t>
  </si>
  <si>
    <t>PRESTADORES DE SERVICIOS PROFESIONALES</t>
  </si>
  <si>
    <t>PS01</t>
  </si>
  <si>
    <t>PS02</t>
  </si>
  <si>
    <t>PS03</t>
  </si>
  <si>
    <t>PS04</t>
  </si>
  <si>
    <t>PS05</t>
  </si>
  <si>
    <t>*NETO A PAGAR*</t>
  </si>
  <si>
    <t>*OBLIGACIONES PATRONALES*</t>
  </si>
  <si>
    <t>Licenciatura (Abogada)</t>
  </si>
  <si>
    <t>Licenciatura (Contador)</t>
  </si>
  <si>
    <t>Licenciatura (Enfermera)</t>
  </si>
  <si>
    <t>Coordinador (administrativo)</t>
  </si>
  <si>
    <t>Licenciatura (DM)</t>
  </si>
  <si>
    <t>Licenciatura (Terapista Físico)</t>
  </si>
  <si>
    <t>Licenciatura (DI)</t>
  </si>
  <si>
    <t>Licenciatura (Psicóloga)</t>
  </si>
  <si>
    <t>Licenciatura (A y L)</t>
  </si>
  <si>
    <t>Licenciatura (Trabajadora Social)</t>
  </si>
  <si>
    <t>Médico Especialista</t>
  </si>
  <si>
    <t>Lizardi Rodríguez Araceli María</t>
  </si>
  <si>
    <t>Martínez Ibarra José de Jesús</t>
  </si>
  <si>
    <t>Fajardo Gómez José Abraham</t>
  </si>
  <si>
    <t>Silva Díaz Angélica Araceli</t>
  </si>
  <si>
    <t>Zúñiga Reynaga Yolanda</t>
  </si>
  <si>
    <t>Pendiente</t>
  </si>
  <si>
    <t>Ramírez Burgos María de la Luz</t>
  </si>
  <si>
    <t>Ledezma Lazcarro Cinthia Nataly</t>
  </si>
  <si>
    <t>Arriaga Gómez Mariana</t>
  </si>
  <si>
    <t>Plascencia González Paola Viridiana</t>
  </si>
  <si>
    <t>Flores Orozco Carolina</t>
  </si>
  <si>
    <t>Cantera Ramírez Ana Elizabeth</t>
  </si>
  <si>
    <t>Tiscareño Padilla Blanca Rubí</t>
  </si>
  <si>
    <t>González Cruz Fabiola</t>
  </si>
  <si>
    <t>González Peña Cecilia Mayela</t>
  </si>
  <si>
    <t>Rivas Guzmán Ana Karen</t>
  </si>
  <si>
    <t>Córdova Camarena María de Jesús</t>
  </si>
  <si>
    <t>Ortiz Anguiano Nélida Guadalupe</t>
  </si>
  <si>
    <t>Sánchez Raygoza Fabiola Yolanda</t>
  </si>
  <si>
    <t>Morales Rubio Perla Liliana</t>
  </si>
  <si>
    <t>TOTALES</t>
  </si>
  <si>
    <t>Prestamo INFONAVIT</t>
  </si>
  <si>
    <t>Subsidio al empleo</t>
  </si>
  <si>
    <t>2a. SEPTIEMBRE 2015</t>
  </si>
  <si>
    <t>1A. SEPTIEMBRE 2015</t>
  </si>
  <si>
    <t>1A. OCTUBRE 2015</t>
  </si>
  <si>
    <t>Flores Pozos Julio Cesar</t>
  </si>
  <si>
    <t>2A. OCTUBRE 2015</t>
  </si>
  <si>
    <t xml:space="preserve">Ajuste  </t>
  </si>
  <si>
    <t>Flores Lopez Marisol</t>
  </si>
  <si>
    <t>JA09</t>
  </si>
  <si>
    <t>JA10</t>
  </si>
  <si>
    <t>JA11</t>
  </si>
  <si>
    <t>AM12</t>
  </si>
  <si>
    <t>AM13</t>
  </si>
  <si>
    <t>AF14</t>
  </si>
  <si>
    <t>AF15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</si>
  <si>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</si>
  <si>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</si>
  <si>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</si>
  <si>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</si>
  <si>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</si>
  <si>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</si>
  <si>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</si>
  <si>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</si>
  <si>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</si>
  <si>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</si>
  <si>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</si>
  <si>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AT27</t>
  </si>
  <si>
    <t>TOTALDEPARTAMENTO 3</t>
  </si>
  <si>
    <t>TOTALDEPARTAMENTO 1</t>
  </si>
  <si>
    <t>TOTALDEPARTAMENTO 2</t>
  </si>
  <si>
    <t>TOTALDEPARTAMENTO 4</t>
  </si>
  <si>
    <t>TOTALDEPARTAMENTO 5</t>
  </si>
  <si>
    <t>TOTALDEPARTAMENTO 6</t>
  </si>
  <si>
    <t>DEPARTAMENTO 6</t>
  </si>
  <si>
    <t>Topete Martinez Luis</t>
  </si>
  <si>
    <t>1A QUINCENA NOVIEMBRE 2015</t>
  </si>
  <si>
    <t xml:space="preserve">I.S.R. </t>
  </si>
  <si>
    <t>REALIZO</t>
  </si>
  <si>
    <t>AUTORIZO</t>
  </si>
  <si>
    <t>LUIS TOPETE MARTINEZ</t>
  </si>
  <si>
    <t xml:space="preserve">Verónica María Gómez Alcántar </t>
  </si>
  <si>
    <t>2A QUINCENA NOVIEMBRE 2015</t>
  </si>
  <si>
    <t>1A QUINCENA DICIEMBRE 2015</t>
  </si>
  <si>
    <t>DIAS LABORADOS</t>
  </si>
  <si>
    <t>2A QUINCENA DICIEMBRE 2015</t>
  </si>
  <si>
    <t>AT28</t>
  </si>
  <si>
    <t>1A QUINCENA ENERO 2016</t>
  </si>
  <si>
    <t>DESCUENTO POR RETARDOS</t>
  </si>
  <si>
    <t>2A QUINCENA ENERO 2016</t>
  </si>
  <si>
    <t>1A QUINCENA FEBRERO 2016</t>
  </si>
  <si>
    <t>VERONICA MARIA GOMEZ ALCANTAR</t>
  </si>
  <si>
    <t>2A QUINCENA FEBRERO 2016</t>
  </si>
  <si>
    <t xml:space="preserve">DESCUENTO POR RETARDOS Y PENSIONES </t>
  </si>
  <si>
    <t>AREA MEDICA Y FISICA</t>
  </si>
  <si>
    <t>DEPARTAMENTO 7</t>
  </si>
  <si>
    <t>JEFATURA DE OPERACIÓN</t>
  </si>
  <si>
    <t>JO03</t>
  </si>
  <si>
    <t>1A QUINCENA MARZO 2016</t>
  </si>
  <si>
    <t>2A QUINCENA MARZO 2016</t>
  </si>
  <si>
    <t>1A QUINCENA ABRIL 2016</t>
  </si>
  <si>
    <t>DESCUENTOS</t>
  </si>
  <si>
    <t>2A QUINCENA ABRIL 2016</t>
  </si>
  <si>
    <t xml:space="preserve">DESCUENTO </t>
  </si>
  <si>
    <t>DEVOLUCION RETROACTIVA DE APORTACION A PENSIONES</t>
  </si>
  <si>
    <t>DEESCUENTO POR NOMINA</t>
  </si>
  <si>
    <t>JULIO CESAR FLORES POZOS</t>
  </si>
  <si>
    <t>1A QUINCENA MAYO 2016</t>
  </si>
  <si>
    <t xml:space="preserve">                 </t>
  </si>
  <si>
    <t>2A QUINCENA MAYO 2016</t>
  </si>
  <si>
    <t>1A QUINCENA JUNIO 2016</t>
  </si>
  <si>
    <t xml:space="preserve">HECTOR HUGO VELAZQUEZ </t>
  </si>
  <si>
    <t xml:space="preserve">Hector Hugo Velazquez Hernandez </t>
  </si>
  <si>
    <t xml:space="preserve">Licenciatura </t>
  </si>
  <si>
    <t xml:space="preserve">PRESTAMO PENSIONES </t>
  </si>
  <si>
    <t>2DA QUINCENA JUNIO 2016</t>
  </si>
  <si>
    <t xml:space="preserve">DEVOLUCION </t>
  </si>
  <si>
    <t>1RA QUINCENA JULIO 2016</t>
  </si>
  <si>
    <t>2DA QUINCENA JULIO 2016</t>
  </si>
  <si>
    <t>1RA QUINCENA AGOSTO 2016</t>
  </si>
  <si>
    <t>Licenciatura (Terapeuta Físico)</t>
  </si>
  <si>
    <t>2DA QUINCENA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</si>
</sst>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/>
      <top style="thin">
        <color rgb="FF0000FD"/>
      </top>
      <bottom style="double">
        <color rgb="FF0000FD"/>
      </bottom>
      <diagonal/>
    </border>
    <border>
      <left/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44" fontId="0" fillId="0" borderId="0" xfId="0" applyNumberFormat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0" fillId="2" borderId="0" xfId="0" applyFill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4" fontId="7" fillId="0" borderId="0" xfId="1" applyFont="1"/>
    <xf numFmtId="44" fontId="6" fillId="0" borderId="0" xfId="0" applyNumberFormat="1" applyFont="1"/>
    <xf numFmtId="0" fontId="0" fillId="3" borderId="0" xfId="0" applyFill="1"/>
    <xf numFmtId="0" fontId="0" fillId="0" borderId="0" xfId="0" applyFill="1"/>
    <xf numFmtId="2" fontId="0" fillId="2" borderId="0" xfId="0" applyNumberFormat="1" applyFill="1"/>
    <xf numFmtId="44" fontId="0" fillId="0" borderId="0" xfId="1" applyFont="1" applyFill="1"/>
    <xf numFmtId="0" fontId="0" fillId="0" borderId="6" xfId="0" applyBorder="1"/>
    <xf numFmtId="4" fontId="0" fillId="0" borderId="0" xfId="0" applyNumberFormat="1"/>
    <xf numFmtId="4" fontId="7" fillId="0" borderId="0" xfId="1" applyNumberFormat="1" applyFont="1"/>
    <xf numFmtId="4" fontId="6" fillId="0" borderId="0" xfId="0" applyNumberFormat="1" applyFont="1"/>
    <xf numFmtId="4" fontId="0" fillId="2" borderId="0" xfId="0" applyNumberFormat="1" applyFill="1"/>
    <xf numFmtId="4" fontId="1" fillId="0" borderId="0" xfId="1" applyNumberFormat="1" applyFont="1"/>
    <xf numFmtId="4" fontId="0" fillId="0" borderId="0" xfId="0" applyNumberFormat="1" applyFill="1"/>
    <xf numFmtId="164" fontId="0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4" fontId="0" fillId="0" borderId="0" xfId="0" applyNumberFormat="1" applyFill="1" applyBorder="1"/>
    <xf numFmtId="0" fontId="0" fillId="0" borderId="0" xfId="0" applyBorder="1"/>
    <xf numFmtId="2" fontId="0" fillId="3" borderId="0" xfId="0" applyNumberFormat="1" applyFill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4" fontId="2" fillId="5" borderId="0" xfId="1" applyFont="1" applyFill="1"/>
    <xf numFmtId="44" fontId="0" fillId="6" borderId="0" xfId="0" applyNumberFormat="1" applyFill="1"/>
    <xf numFmtId="4" fontId="0" fillId="3" borderId="0" xfId="0" applyNumberFormat="1" applyFill="1"/>
    <xf numFmtId="4" fontId="0" fillId="6" borderId="0" xfId="0" applyNumberFormat="1" applyFill="1"/>
    <xf numFmtId="2" fontId="0" fillId="6" borderId="0" xfId="0" applyNumberFormat="1" applyFill="1"/>
    <xf numFmtId="4" fontId="3" fillId="4" borderId="1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" fontId="6" fillId="0" borderId="9" xfId="0" applyNumberFormat="1" applyFont="1" applyBorder="1"/>
    <xf numFmtId="0" fontId="6" fillId="0" borderId="0" xfId="0" applyFont="1" applyAlignment="1">
      <alignment horizontal="right"/>
    </xf>
    <xf numFmtId="4" fontId="6" fillId="2" borderId="9" xfId="0" applyNumberFormat="1" applyFont="1" applyFill="1" applyBorder="1"/>
    <xf numFmtId="4" fontId="6" fillId="6" borderId="9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" fillId="7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" fillId="8" borderId="0" xfId="0" applyNumberFormat="1" applyFont="1" applyFill="1"/>
    <xf numFmtId="4" fontId="12" fillId="0" borderId="0" xfId="0" applyNumberFormat="1" applyFont="1" applyFill="1"/>
    <xf numFmtId="4" fontId="12" fillId="2" borderId="0" xfId="1" applyNumberFormat="1" applyFont="1" applyFill="1"/>
    <xf numFmtId="4" fontId="0" fillId="9" borderId="0" xfId="0" applyNumberFormat="1" applyFill="1"/>
    <xf numFmtId="4" fontId="2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1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" fillId="10" borderId="0" xfId="0" applyNumberFormat="1" applyFont="1" applyFill="1"/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">
    <dxf>
      <font>
        <b val="0"/>
        <i val="0"/>
      </font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mruColors>
      <color rgb="FFC4E01A"/>
      <color rgb="FFFFE69F"/>
      <color rgb="FFFFFF99"/>
      <color rgb="FF00FF00"/>
      <color rgb="FFFFF7E1"/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2</xdr:col>
      <xdr:colOff>695325</xdr:colOff>
      <xdr:row>2</xdr:row>
      <xdr:rowOff>182288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57150"/>
          <a:ext cx="1381125" cy="5537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0</xdr:row>
      <xdr:rowOff>33618</xdr:rowOff>
    </xdr:from>
    <xdr:to>
      <xdr:col>2</xdr:col>
      <xdr:colOff>749793</xdr:colOff>
      <xdr:row>4</xdr:row>
      <xdr:rowOff>11206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33618"/>
          <a:ext cx="1635058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480852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3377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3377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447234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7859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2</xdr:col>
      <xdr:colOff>619124</xdr:colOff>
      <xdr:row>2</xdr:row>
      <xdr:rowOff>162057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466849" cy="5906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9526</xdr:rowOff>
    </xdr:from>
    <xdr:to>
      <xdr:col>2</xdr:col>
      <xdr:colOff>829006</xdr:colOff>
      <xdr:row>2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9526"/>
          <a:ext cx="1667205" cy="581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9526</xdr:rowOff>
    </xdr:from>
    <xdr:to>
      <xdr:col>2</xdr:col>
      <xdr:colOff>829006</xdr:colOff>
      <xdr:row>3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9526"/>
          <a:ext cx="1667205" cy="581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9526</xdr:rowOff>
    </xdr:from>
    <xdr:to>
      <xdr:col>2</xdr:col>
      <xdr:colOff>829006</xdr:colOff>
      <xdr:row>2</xdr:row>
      <xdr:rowOff>276225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9526"/>
          <a:ext cx="1667205" cy="638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590881</xdr:colOff>
      <xdr:row>2</xdr:row>
      <xdr:rowOff>169085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0"/>
          <a:ext cx="1686256" cy="5977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0</xdr:rowOff>
    </xdr:from>
    <xdr:to>
      <xdr:col>2</xdr:col>
      <xdr:colOff>942975</xdr:colOff>
      <xdr:row>3</xdr:row>
      <xdr:rowOff>159560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1" y="0"/>
          <a:ext cx="2025014" cy="7786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0</xdr:rowOff>
    </xdr:from>
    <xdr:to>
      <xdr:col>2</xdr:col>
      <xdr:colOff>866775</xdr:colOff>
      <xdr:row>3</xdr:row>
      <xdr:rowOff>185258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1" y="0"/>
          <a:ext cx="1948814" cy="8043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0</xdr:rowOff>
    </xdr:from>
    <xdr:to>
      <xdr:col>2</xdr:col>
      <xdr:colOff>866775</xdr:colOff>
      <xdr:row>4</xdr:row>
      <xdr:rowOff>42383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1" y="0"/>
          <a:ext cx="1948814" cy="804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61" sqref="D61"/>
    </sheetView>
  </sheetViews>
  <sheetFormatPr baseColWidth="10" defaultRowHeight="15" x14ac:dyDescent="0.25"/>
  <cols>
    <col min="2" max="2" width="33.42578125" customWidth="1"/>
    <col min="3" max="3" width="27" customWidth="1"/>
    <col min="4" max="4" width="19.85546875" customWidth="1"/>
    <col min="5" max="5" width="17.85546875" customWidth="1"/>
    <col min="7" max="7" width="17" customWidth="1"/>
    <col min="8" max="8" width="14.7109375" customWidth="1"/>
    <col min="12" max="12" width="17.42578125" customWidth="1"/>
    <col min="13" max="13" width="16.140625" customWidth="1"/>
    <col min="14" max="14" width="15.85546875" customWidth="1"/>
    <col min="15" max="15" width="18.85546875" customWidth="1"/>
    <col min="16" max="16" width="19.28515625" customWidth="1"/>
  </cols>
  <sheetData>
    <row r="1" spans="1:18" ht="18.75" x14ac:dyDescent="0.25">
      <c r="B1" s="6" t="s">
        <v>109</v>
      </c>
    </row>
    <row r="2" spans="1:18" ht="15.75" thickBot="1" x14ac:dyDescent="0.3"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8" ht="24" thickTop="1" thickBot="1" x14ac:dyDescent="0.3">
      <c r="A3" s="42" t="s">
        <v>9</v>
      </c>
      <c r="B3" s="43" t="s">
        <v>10</v>
      </c>
      <c r="C3" s="43" t="s">
        <v>0</v>
      </c>
      <c r="D3" s="43" t="s">
        <v>11</v>
      </c>
      <c r="E3" s="43" t="s">
        <v>12</v>
      </c>
      <c r="F3" s="43" t="s">
        <v>107</v>
      </c>
      <c r="G3" s="43" t="s">
        <v>13</v>
      </c>
      <c r="H3" s="43" t="s">
        <v>14</v>
      </c>
      <c r="I3" s="43" t="s">
        <v>15</v>
      </c>
      <c r="J3" s="43" t="s">
        <v>106</v>
      </c>
      <c r="K3" s="43" t="s">
        <v>16</v>
      </c>
      <c r="L3" s="43" t="s">
        <v>17</v>
      </c>
      <c r="M3" s="43" t="s">
        <v>72</v>
      </c>
      <c r="N3" s="43" t="s">
        <v>8</v>
      </c>
      <c r="O3" s="43" t="s">
        <v>18</v>
      </c>
      <c r="P3" s="43" t="s">
        <v>73</v>
      </c>
    </row>
    <row r="4" spans="1:18" ht="15.75" thickTop="1" x14ac:dyDescent="0.25">
      <c r="A4" s="2" t="s">
        <v>19</v>
      </c>
      <c r="B4" s="2" t="s">
        <v>20</v>
      </c>
      <c r="C4" s="2"/>
    </row>
    <row r="5" spans="1:18" x14ac:dyDescent="0.25">
      <c r="A5" t="s">
        <v>21</v>
      </c>
      <c r="B5" t="s">
        <v>22</v>
      </c>
      <c r="C5" t="s">
        <v>25</v>
      </c>
      <c r="D5">
        <v>16954.95</v>
      </c>
      <c r="E5">
        <f>D5</f>
        <v>16954.95</v>
      </c>
      <c r="F5" s="15">
        <v>0</v>
      </c>
      <c r="G5">
        <v>3246.93</v>
      </c>
      <c r="H5">
        <v>188.65</v>
      </c>
      <c r="I5" s="15">
        <v>0</v>
      </c>
      <c r="J5" s="15">
        <v>0</v>
      </c>
      <c r="K5" s="15">
        <v>0</v>
      </c>
      <c r="L5" s="11">
        <f>SUM(F5:K5)</f>
        <v>3435.58</v>
      </c>
      <c r="M5" s="5">
        <f>E5-L5</f>
        <v>13519.37</v>
      </c>
      <c r="N5" s="10">
        <v>1223.77</v>
      </c>
      <c r="O5" s="10">
        <v>2797.56</v>
      </c>
      <c r="P5" s="35">
        <f>SUM(N5:O5)</f>
        <v>4021.33</v>
      </c>
    </row>
    <row r="6" spans="1:18" x14ac:dyDescent="0.25">
      <c r="A6" t="s">
        <v>23</v>
      </c>
      <c r="B6" t="s">
        <v>24</v>
      </c>
      <c r="C6" t="s">
        <v>3</v>
      </c>
      <c r="D6">
        <v>4850</v>
      </c>
      <c r="E6">
        <f t="shared" ref="E6:E14" si="0">D6</f>
        <v>4850</v>
      </c>
      <c r="F6" s="15">
        <v>0</v>
      </c>
      <c r="G6">
        <v>491.69</v>
      </c>
      <c r="H6">
        <v>44.835000000000001</v>
      </c>
      <c r="I6" s="15">
        <v>0</v>
      </c>
      <c r="J6" s="15">
        <v>0</v>
      </c>
      <c r="K6" s="15">
        <v>0</v>
      </c>
      <c r="L6" s="11">
        <f>SUM(F6:K6)</f>
        <v>536.52499999999998</v>
      </c>
      <c r="M6" s="5">
        <f t="shared" ref="M6:M18" si="1">E6-L6</f>
        <v>4313.4750000000004</v>
      </c>
      <c r="N6" s="10">
        <v>480.14</v>
      </c>
      <c r="O6" s="10">
        <v>800.25</v>
      </c>
      <c r="P6" s="35">
        <f t="shared" ref="P6:P7" si="2">SUM(N6:O6)</f>
        <v>1280.3899999999999</v>
      </c>
    </row>
    <row r="7" spans="1:18" x14ac:dyDescent="0.25">
      <c r="A7" t="s">
        <v>41</v>
      </c>
      <c r="B7" t="s">
        <v>42</v>
      </c>
      <c r="C7" t="s">
        <v>2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 t="shared" ref="L7" si="3">SUM(G7:K7)</f>
        <v>0</v>
      </c>
      <c r="M7" s="18">
        <f t="shared" si="1"/>
        <v>0</v>
      </c>
      <c r="N7" s="36">
        <v>0</v>
      </c>
      <c r="O7" s="36">
        <v>0</v>
      </c>
      <c r="P7" s="35">
        <f t="shared" si="2"/>
        <v>0</v>
      </c>
    </row>
    <row r="8" spans="1:18" x14ac:dyDescent="0.25">
      <c r="A8" s="7" t="s">
        <v>26</v>
      </c>
      <c r="B8" s="30"/>
      <c r="D8" s="34">
        <f>SUM(D5:D7)</f>
        <v>21804.95</v>
      </c>
      <c r="E8" s="34">
        <f t="shared" ref="E8:P8" si="4">SUM(E5:E7)</f>
        <v>21804.95</v>
      </c>
      <c r="F8" s="34">
        <f t="shared" si="4"/>
        <v>0</v>
      </c>
      <c r="G8" s="34">
        <f t="shared" si="4"/>
        <v>3738.62</v>
      </c>
      <c r="H8" s="34">
        <f t="shared" si="4"/>
        <v>233.48500000000001</v>
      </c>
      <c r="I8" s="34">
        <f t="shared" si="4"/>
        <v>0</v>
      </c>
      <c r="J8" s="34">
        <f t="shared" si="4"/>
        <v>0</v>
      </c>
      <c r="K8" s="34">
        <f t="shared" si="4"/>
        <v>0</v>
      </c>
      <c r="L8" s="34">
        <f t="shared" si="4"/>
        <v>3972.105</v>
      </c>
      <c r="M8" s="34">
        <f t="shared" si="4"/>
        <v>17832.845000000001</v>
      </c>
      <c r="N8" s="34">
        <f t="shared" si="4"/>
        <v>1703.9099999999999</v>
      </c>
      <c r="O8" s="34">
        <f t="shared" si="4"/>
        <v>3597.81</v>
      </c>
      <c r="P8" s="34">
        <f t="shared" si="4"/>
        <v>5301.7199999999993</v>
      </c>
    </row>
    <row r="10" spans="1:18" x14ac:dyDescent="0.25">
      <c r="A10" s="2" t="s">
        <v>27</v>
      </c>
      <c r="B10" s="2" t="s">
        <v>28</v>
      </c>
      <c r="R10" s="11"/>
    </row>
    <row r="11" spans="1:18" x14ac:dyDescent="0.25">
      <c r="A11" t="s">
        <v>29</v>
      </c>
      <c r="B11" t="s">
        <v>37</v>
      </c>
      <c r="C11" t="s">
        <v>1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f>SUM(F11:K11)</f>
        <v>0</v>
      </c>
      <c r="M11" s="18">
        <f t="shared" si="1"/>
        <v>0</v>
      </c>
      <c r="N11" s="36">
        <v>0</v>
      </c>
      <c r="O11" s="36">
        <v>0</v>
      </c>
      <c r="P11" s="35">
        <f>N11+O11</f>
        <v>0</v>
      </c>
    </row>
    <row r="12" spans="1:18" x14ac:dyDescent="0.25">
      <c r="A12" t="s">
        <v>30</v>
      </c>
      <c r="B12" t="s">
        <v>38</v>
      </c>
      <c r="C12" t="s">
        <v>74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ref="L12:L16" si="5">SUM(F12:K12)</f>
        <v>0</v>
      </c>
      <c r="M12" s="18">
        <f t="shared" si="1"/>
        <v>0</v>
      </c>
      <c r="N12" s="36">
        <v>0</v>
      </c>
      <c r="O12" s="36">
        <v>0</v>
      </c>
      <c r="P12" s="35">
        <f>N12+O12</f>
        <v>0</v>
      </c>
    </row>
    <row r="13" spans="1:18" x14ac:dyDescent="0.25">
      <c r="A13" t="s">
        <v>31</v>
      </c>
      <c r="B13" t="s">
        <v>90</v>
      </c>
      <c r="C13" t="s">
        <v>75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5"/>
        <v>0</v>
      </c>
      <c r="M13" s="18">
        <f t="shared" si="1"/>
        <v>0</v>
      </c>
      <c r="N13" s="36">
        <v>0</v>
      </c>
      <c r="O13" s="36">
        <v>0</v>
      </c>
      <c r="P13" s="35">
        <f>N13+O13</f>
        <v>0</v>
      </c>
    </row>
    <row r="14" spans="1:18" x14ac:dyDescent="0.25">
      <c r="A14" t="s">
        <v>32</v>
      </c>
      <c r="B14" t="s">
        <v>90</v>
      </c>
      <c r="C14" t="s">
        <v>77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5"/>
        <v>0</v>
      </c>
      <c r="M14" s="18">
        <f t="shared" si="1"/>
        <v>0</v>
      </c>
      <c r="N14" s="36">
        <v>0</v>
      </c>
      <c r="O14" s="36">
        <v>0</v>
      </c>
      <c r="P14" s="35">
        <f>N14+O14</f>
        <v>0</v>
      </c>
    </row>
    <row r="15" spans="1:18" x14ac:dyDescent="0.25">
      <c r="A15" t="s">
        <v>33</v>
      </c>
      <c r="B15" t="s">
        <v>86</v>
      </c>
      <c r="C15" t="s">
        <v>5</v>
      </c>
      <c r="D15">
        <v>5000</v>
      </c>
      <c r="E15">
        <f>D15</f>
        <v>5000</v>
      </c>
      <c r="F15" s="15">
        <v>0</v>
      </c>
      <c r="G15">
        <v>518.57000000000005</v>
      </c>
      <c r="H15">
        <v>46.61</v>
      </c>
      <c r="I15" s="15">
        <v>0</v>
      </c>
      <c r="J15" s="15">
        <v>0</v>
      </c>
      <c r="K15" s="15">
        <v>0</v>
      </c>
      <c r="L15">
        <f t="shared" si="5"/>
        <v>565.18000000000006</v>
      </c>
      <c r="M15" s="5">
        <f t="shared" si="1"/>
        <v>4434.82</v>
      </c>
      <c r="N15" s="10">
        <v>489.36</v>
      </c>
      <c r="O15" s="10">
        <v>825</v>
      </c>
      <c r="P15" s="35">
        <f>N15+O15</f>
        <v>1314.3600000000001</v>
      </c>
    </row>
    <row r="16" spans="1:18" x14ac:dyDescent="0.25">
      <c r="A16" t="s">
        <v>34</v>
      </c>
      <c r="B16" t="s">
        <v>87</v>
      </c>
      <c r="C16" t="s">
        <v>39</v>
      </c>
      <c r="D16">
        <v>4500</v>
      </c>
      <c r="E16">
        <f t="shared" ref="E16:E17" si="6">D16</f>
        <v>4500</v>
      </c>
      <c r="F16" s="15">
        <v>0</v>
      </c>
      <c r="G16">
        <v>428.97</v>
      </c>
      <c r="H16">
        <v>40.67</v>
      </c>
      <c r="I16" s="15">
        <v>0</v>
      </c>
      <c r="J16" s="15">
        <v>0</v>
      </c>
      <c r="K16" s="15">
        <v>0</v>
      </c>
      <c r="L16">
        <f t="shared" si="5"/>
        <v>469.64000000000004</v>
      </c>
      <c r="M16" s="5">
        <f t="shared" si="1"/>
        <v>4030.36</v>
      </c>
      <c r="N16" s="10">
        <v>458.64</v>
      </c>
      <c r="O16" s="10">
        <v>742.5</v>
      </c>
      <c r="P16" s="35">
        <f t="shared" ref="P16:P18" si="7">N16+O16</f>
        <v>1201.1399999999999</v>
      </c>
    </row>
    <row r="17" spans="1:16" x14ac:dyDescent="0.25">
      <c r="A17" t="s">
        <v>35</v>
      </c>
      <c r="B17" t="s">
        <v>89</v>
      </c>
      <c r="C17" t="s">
        <v>4</v>
      </c>
      <c r="D17">
        <v>2700</v>
      </c>
      <c r="E17">
        <f t="shared" si="6"/>
        <v>2700</v>
      </c>
      <c r="F17" s="15">
        <v>0</v>
      </c>
      <c r="G17">
        <v>188.33</v>
      </c>
      <c r="H17">
        <v>19.29</v>
      </c>
      <c r="I17" s="15">
        <v>0</v>
      </c>
      <c r="J17" s="15">
        <v>0</v>
      </c>
      <c r="K17" s="15">
        <v>0</v>
      </c>
      <c r="L17">
        <f>SUM(F17:K17)</f>
        <v>207.62</v>
      </c>
      <c r="M17" s="5">
        <f t="shared" si="1"/>
        <v>2492.38</v>
      </c>
      <c r="N17" s="10">
        <v>348.07</v>
      </c>
      <c r="O17" s="10">
        <v>445.5</v>
      </c>
      <c r="P17" s="35">
        <f t="shared" si="7"/>
        <v>793.56999999999994</v>
      </c>
    </row>
    <row r="18" spans="1:16" x14ac:dyDescent="0.25">
      <c r="A18" t="s">
        <v>36</v>
      </c>
      <c r="B18" t="s">
        <v>88</v>
      </c>
      <c r="C18" t="s">
        <v>40</v>
      </c>
      <c r="D18">
        <v>3150</v>
      </c>
      <c r="E18">
        <f>SUM(D18:D18)</f>
        <v>3150</v>
      </c>
      <c r="F18" s="15">
        <v>0</v>
      </c>
      <c r="G18">
        <v>237.29</v>
      </c>
      <c r="H18">
        <v>24.64</v>
      </c>
      <c r="I18" s="15">
        <v>0</v>
      </c>
      <c r="J18" s="15">
        <v>0</v>
      </c>
      <c r="K18" s="15">
        <v>0</v>
      </c>
      <c r="L18">
        <f>SUM(F18:K18)</f>
        <v>261.93</v>
      </c>
      <c r="M18" s="5">
        <f t="shared" si="1"/>
        <v>2888.07</v>
      </c>
      <c r="N18" s="10">
        <v>375.71</v>
      </c>
      <c r="O18" s="10">
        <v>519.75</v>
      </c>
      <c r="P18" s="35">
        <f t="shared" si="7"/>
        <v>895.46</v>
      </c>
    </row>
    <row r="19" spans="1:16" x14ac:dyDescent="0.25">
      <c r="A19" s="2" t="s">
        <v>26</v>
      </c>
      <c r="D19" s="34">
        <f>SUM(D11:D18)</f>
        <v>15350</v>
      </c>
      <c r="E19" s="34">
        <f>SUM(E11:E18)</f>
        <v>15350</v>
      </c>
      <c r="F19" s="34">
        <f t="shared" ref="F19:M19" si="8">SUM(F11:F18)</f>
        <v>0</v>
      </c>
      <c r="G19" s="34">
        <f t="shared" si="8"/>
        <v>1373.16</v>
      </c>
      <c r="H19" s="34">
        <f t="shared" si="8"/>
        <v>131.20999999999998</v>
      </c>
      <c r="I19" s="34">
        <f t="shared" si="8"/>
        <v>0</v>
      </c>
      <c r="J19" s="34">
        <f t="shared" si="8"/>
        <v>0</v>
      </c>
      <c r="K19" s="34">
        <f t="shared" si="8"/>
        <v>0</v>
      </c>
      <c r="L19" s="34">
        <f t="shared" si="8"/>
        <v>1504.3700000000001</v>
      </c>
      <c r="M19" s="34">
        <f t="shared" si="8"/>
        <v>13845.630000000001</v>
      </c>
      <c r="N19" s="34">
        <f t="shared" ref="N19" si="9">SUM(N11:N18)</f>
        <v>1671.78</v>
      </c>
      <c r="O19" s="34">
        <f t="shared" ref="O19" si="10">SUM(O11:O18)</f>
        <v>2532.75</v>
      </c>
      <c r="P19" s="34">
        <f t="shared" ref="P19" si="11">SUM(P11:P18)</f>
        <v>4204.53</v>
      </c>
    </row>
    <row r="20" spans="1:16" x14ac:dyDescent="0.25">
      <c r="A20" s="2"/>
    </row>
    <row r="21" spans="1:16" x14ac:dyDescent="0.25">
      <c r="A21" s="2" t="s">
        <v>43</v>
      </c>
      <c r="B21" s="2" t="s">
        <v>44</v>
      </c>
    </row>
    <row r="22" spans="1:16" x14ac:dyDescent="0.25">
      <c r="A22" t="s">
        <v>45</v>
      </c>
      <c r="B22" t="s">
        <v>90</v>
      </c>
      <c r="C22" t="s">
        <v>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 t="shared" ref="L22:L23" si="12">SUM(F22:K22)</f>
        <v>0</v>
      </c>
      <c r="M22" s="18">
        <v>0</v>
      </c>
      <c r="N22" s="36">
        <v>0</v>
      </c>
      <c r="O22" s="36">
        <v>0</v>
      </c>
      <c r="P22" s="35">
        <v>0</v>
      </c>
    </row>
    <row r="23" spans="1:16" x14ac:dyDescent="0.25">
      <c r="A23" t="s">
        <v>46</v>
      </c>
      <c r="B23" t="s">
        <v>91</v>
      </c>
      <c r="C23" t="s">
        <v>76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f t="shared" si="12"/>
        <v>0</v>
      </c>
      <c r="M23" s="18">
        <v>0</v>
      </c>
      <c r="N23" s="36">
        <v>0</v>
      </c>
      <c r="O23" s="36">
        <v>0</v>
      </c>
      <c r="P23" s="35">
        <v>0</v>
      </c>
    </row>
    <row r="24" spans="1:16" x14ac:dyDescent="0.25">
      <c r="A24" s="2" t="s">
        <v>26</v>
      </c>
      <c r="D24" s="34">
        <f>SUM(D22:D23)</f>
        <v>0</v>
      </c>
      <c r="E24" s="34">
        <f t="shared" ref="E24:M24" si="13">SUM(E22:E23)</f>
        <v>0</v>
      </c>
      <c r="F24" s="34">
        <f t="shared" si="13"/>
        <v>0</v>
      </c>
      <c r="G24" s="34">
        <f t="shared" si="13"/>
        <v>0</v>
      </c>
      <c r="H24" s="34">
        <f t="shared" si="13"/>
        <v>0</v>
      </c>
      <c r="I24" s="34">
        <f t="shared" si="13"/>
        <v>0</v>
      </c>
      <c r="J24" s="34">
        <f t="shared" si="13"/>
        <v>0</v>
      </c>
      <c r="K24" s="34">
        <f t="shared" si="13"/>
        <v>0</v>
      </c>
      <c r="L24" s="34">
        <f t="shared" si="13"/>
        <v>0</v>
      </c>
      <c r="M24" s="34">
        <f t="shared" si="13"/>
        <v>0</v>
      </c>
      <c r="N24" s="34">
        <f t="shared" ref="N24" si="14">SUM(N22:N23)</f>
        <v>0</v>
      </c>
      <c r="O24" s="34">
        <f t="shared" ref="O24" si="15">SUM(O22:O23)</f>
        <v>0</v>
      </c>
      <c r="P24" s="34">
        <f t="shared" ref="P24" si="16">SUM(P22:P23)</f>
        <v>0</v>
      </c>
    </row>
    <row r="26" spans="1:16" x14ac:dyDescent="0.25">
      <c r="A26" s="2" t="s">
        <v>43</v>
      </c>
      <c r="B26" s="2" t="s">
        <v>47</v>
      </c>
    </row>
    <row r="27" spans="1:16" x14ac:dyDescent="0.25">
      <c r="A27" t="s">
        <v>48</v>
      </c>
      <c r="B27" t="s">
        <v>93</v>
      </c>
      <c r="C27" t="s">
        <v>78</v>
      </c>
      <c r="D27">
        <v>5350</v>
      </c>
      <c r="E27">
        <f>D27</f>
        <v>5350</v>
      </c>
      <c r="F27" s="15">
        <v>0</v>
      </c>
      <c r="G27">
        <v>588.20000000000005</v>
      </c>
      <c r="H27">
        <v>50.77</v>
      </c>
      <c r="I27" s="15">
        <v>0</v>
      </c>
      <c r="J27" s="15">
        <v>0</v>
      </c>
      <c r="K27" s="15">
        <v>0</v>
      </c>
      <c r="L27">
        <f>SUM(F27:K27)</f>
        <v>638.97</v>
      </c>
      <c r="M27" s="5">
        <f>E27-L27</f>
        <v>4711.03</v>
      </c>
      <c r="N27" s="10">
        <v>510.86</v>
      </c>
      <c r="O27" s="10">
        <v>882.75</v>
      </c>
      <c r="P27" s="35">
        <f>N27+O27</f>
        <v>1393.6100000000001</v>
      </c>
    </row>
    <row r="28" spans="1:16" x14ac:dyDescent="0.25">
      <c r="A28" t="s">
        <v>49</v>
      </c>
      <c r="B28" t="s">
        <v>90</v>
      </c>
      <c r="C28" t="s">
        <v>79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>SUM(F28:K28)</f>
        <v>0</v>
      </c>
      <c r="M28" s="18">
        <v>0</v>
      </c>
      <c r="N28" s="36">
        <v>0</v>
      </c>
      <c r="O28" s="36">
        <v>0</v>
      </c>
      <c r="P28" s="35">
        <v>0</v>
      </c>
    </row>
    <row r="29" spans="1:16" x14ac:dyDescent="0.25">
      <c r="A29" s="2" t="s">
        <v>26</v>
      </c>
      <c r="D29" s="34">
        <f>SUM(D27:D28)</f>
        <v>5350</v>
      </c>
      <c r="E29" s="34">
        <f t="shared" ref="E29:M29" si="17">SUM(E27:E28)</f>
        <v>5350</v>
      </c>
      <c r="F29" s="34">
        <f t="shared" si="17"/>
        <v>0</v>
      </c>
      <c r="G29" s="34">
        <f t="shared" si="17"/>
        <v>588.20000000000005</v>
      </c>
      <c r="H29" s="34">
        <f t="shared" si="17"/>
        <v>50.77</v>
      </c>
      <c r="I29" s="34">
        <f t="shared" si="17"/>
        <v>0</v>
      </c>
      <c r="J29" s="34">
        <f t="shared" si="17"/>
        <v>0</v>
      </c>
      <c r="K29" s="34">
        <f t="shared" si="17"/>
        <v>0</v>
      </c>
      <c r="L29" s="34">
        <f t="shared" si="17"/>
        <v>638.97</v>
      </c>
      <c r="M29" s="34">
        <f t="shared" si="17"/>
        <v>4711.03</v>
      </c>
      <c r="N29" s="34">
        <f t="shared" ref="N29" si="18">SUM(N27:N28)</f>
        <v>510.86</v>
      </c>
      <c r="O29" s="34">
        <f t="shared" ref="O29" si="19">SUM(O27:O28)</f>
        <v>882.75</v>
      </c>
      <c r="P29" s="34">
        <f t="shared" ref="P29" si="20">SUM(P27:P28)</f>
        <v>1393.6100000000001</v>
      </c>
    </row>
    <row r="31" spans="1:16" x14ac:dyDescent="0.25">
      <c r="A31" s="2" t="s">
        <v>50</v>
      </c>
      <c r="B31" s="2" t="s">
        <v>51</v>
      </c>
    </row>
    <row r="32" spans="1:16" x14ac:dyDescent="0.25">
      <c r="A32" t="s">
        <v>52</v>
      </c>
      <c r="B32" t="s">
        <v>97</v>
      </c>
      <c r="C32" t="s">
        <v>80</v>
      </c>
      <c r="D32">
        <v>5350</v>
      </c>
      <c r="E32">
        <f t="shared" ref="E32:E42" si="21">D32</f>
        <v>5350</v>
      </c>
      <c r="F32" s="15">
        <v>0</v>
      </c>
      <c r="G32">
        <v>588.20000000000005</v>
      </c>
      <c r="H32">
        <v>50.77</v>
      </c>
      <c r="I32" s="15">
        <v>0</v>
      </c>
      <c r="J32" s="15">
        <v>0</v>
      </c>
      <c r="K32" s="15">
        <v>0</v>
      </c>
      <c r="L32">
        <f>SUM(F32:K32)</f>
        <v>638.97</v>
      </c>
      <c r="M32" s="5">
        <f t="shared" ref="M32:M42" si="22">E32-L32</f>
        <v>4711.03</v>
      </c>
      <c r="N32" s="10">
        <v>510.86</v>
      </c>
      <c r="O32" s="10">
        <v>882.75</v>
      </c>
      <c r="P32" s="35">
        <f t="shared" ref="P32:P42" si="23">N32+O32</f>
        <v>1393.6100000000001</v>
      </c>
    </row>
    <row r="33" spans="1:16" x14ac:dyDescent="0.25">
      <c r="A33" t="s">
        <v>53</v>
      </c>
      <c r="B33" t="s">
        <v>100</v>
      </c>
      <c r="C33" t="s">
        <v>80</v>
      </c>
      <c r="D33">
        <v>5350</v>
      </c>
      <c r="E33">
        <f t="shared" si="21"/>
        <v>5350</v>
      </c>
      <c r="F33" s="15">
        <v>0</v>
      </c>
      <c r="G33">
        <v>588.20000000000005</v>
      </c>
      <c r="H33">
        <v>50.77</v>
      </c>
      <c r="I33" s="15">
        <v>0</v>
      </c>
      <c r="J33" s="15">
        <v>0</v>
      </c>
      <c r="K33" s="15">
        <v>0</v>
      </c>
      <c r="L33">
        <f t="shared" ref="L33:L42" si="24">SUM(F33:K33)</f>
        <v>638.97</v>
      </c>
      <c r="M33" s="5">
        <f t="shared" si="22"/>
        <v>4711.03</v>
      </c>
      <c r="N33" s="10">
        <v>510.86</v>
      </c>
      <c r="O33" s="10">
        <v>882.75</v>
      </c>
      <c r="P33" s="35">
        <f t="shared" si="23"/>
        <v>1393.6100000000001</v>
      </c>
    </row>
    <row r="34" spans="1:16" x14ac:dyDescent="0.25">
      <c r="A34" t="s">
        <v>54</v>
      </c>
      <c r="B34" t="s">
        <v>96</v>
      </c>
      <c r="C34" t="s">
        <v>78</v>
      </c>
      <c r="D34">
        <v>5350</v>
      </c>
      <c r="E34">
        <f t="shared" si="21"/>
        <v>5350</v>
      </c>
      <c r="F34" s="15">
        <v>0</v>
      </c>
      <c r="G34">
        <v>588.20000000000005</v>
      </c>
      <c r="H34">
        <v>50.77</v>
      </c>
      <c r="I34" s="15">
        <v>0</v>
      </c>
      <c r="J34" s="15">
        <v>0</v>
      </c>
      <c r="K34" s="15">
        <v>0</v>
      </c>
      <c r="L34">
        <f t="shared" si="24"/>
        <v>638.97</v>
      </c>
      <c r="M34" s="5">
        <f t="shared" si="22"/>
        <v>4711.03</v>
      </c>
      <c r="N34" s="10">
        <v>510.86</v>
      </c>
      <c r="O34" s="10">
        <v>882.75</v>
      </c>
      <c r="P34" s="35">
        <f t="shared" si="23"/>
        <v>1393.6100000000001</v>
      </c>
    </row>
    <row r="35" spans="1:16" x14ac:dyDescent="0.25">
      <c r="A35" t="s">
        <v>55</v>
      </c>
      <c r="B35" t="s">
        <v>104</v>
      </c>
      <c r="C35" t="s">
        <v>78</v>
      </c>
      <c r="D35">
        <v>5350</v>
      </c>
      <c r="E35">
        <f t="shared" si="21"/>
        <v>5350</v>
      </c>
      <c r="F35" s="15">
        <v>0</v>
      </c>
      <c r="G35">
        <v>588.20000000000005</v>
      </c>
      <c r="H35">
        <v>50.77</v>
      </c>
      <c r="I35" s="15">
        <v>0</v>
      </c>
      <c r="J35" s="15">
        <v>0</v>
      </c>
      <c r="K35" s="15">
        <v>0</v>
      </c>
      <c r="L35">
        <f t="shared" si="24"/>
        <v>638.97</v>
      </c>
      <c r="M35" s="5">
        <f t="shared" si="22"/>
        <v>4711.03</v>
      </c>
      <c r="N35" s="10">
        <v>510.86</v>
      </c>
      <c r="O35" s="10">
        <v>882.75</v>
      </c>
      <c r="P35" s="35">
        <f t="shared" si="23"/>
        <v>1393.6100000000001</v>
      </c>
    </row>
    <row r="36" spans="1:16" x14ac:dyDescent="0.25">
      <c r="A36" t="s">
        <v>56</v>
      </c>
      <c r="B36" t="s">
        <v>94</v>
      </c>
      <c r="C36" t="s">
        <v>81</v>
      </c>
      <c r="D36">
        <v>5350</v>
      </c>
      <c r="E36">
        <f t="shared" si="21"/>
        <v>5350</v>
      </c>
      <c r="F36" s="15">
        <v>0</v>
      </c>
      <c r="G36">
        <v>588.20000000000005</v>
      </c>
      <c r="H36">
        <v>50.77</v>
      </c>
      <c r="I36" s="15">
        <v>0</v>
      </c>
      <c r="J36" s="15">
        <v>0</v>
      </c>
      <c r="K36" s="15">
        <v>0</v>
      </c>
      <c r="L36">
        <f t="shared" si="24"/>
        <v>638.97</v>
      </c>
      <c r="M36" s="5">
        <f t="shared" si="22"/>
        <v>4711.03</v>
      </c>
      <c r="N36" s="10">
        <v>510.86</v>
      </c>
      <c r="O36" s="10">
        <v>882.75</v>
      </c>
      <c r="P36" s="35">
        <f t="shared" si="23"/>
        <v>1393.6100000000001</v>
      </c>
    </row>
    <row r="37" spans="1:16" x14ac:dyDescent="0.25">
      <c r="A37" t="s">
        <v>57</v>
      </c>
      <c r="B37" t="s">
        <v>98</v>
      </c>
      <c r="C37" t="s">
        <v>81</v>
      </c>
      <c r="D37">
        <v>5350</v>
      </c>
      <c r="E37">
        <f t="shared" si="21"/>
        <v>5350</v>
      </c>
      <c r="F37" s="15">
        <v>0</v>
      </c>
      <c r="G37">
        <v>588.20000000000005</v>
      </c>
      <c r="H37">
        <v>50.77</v>
      </c>
      <c r="I37" s="15">
        <v>0</v>
      </c>
      <c r="J37" s="15">
        <v>0</v>
      </c>
      <c r="K37" s="15">
        <v>0</v>
      </c>
      <c r="L37">
        <f t="shared" si="24"/>
        <v>638.97</v>
      </c>
      <c r="M37" s="5">
        <f t="shared" si="22"/>
        <v>4711.03</v>
      </c>
      <c r="N37" s="10">
        <v>510.86</v>
      </c>
      <c r="O37" s="10">
        <v>882.75</v>
      </c>
      <c r="P37" s="35">
        <f t="shared" si="23"/>
        <v>1393.6100000000001</v>
      </c>
    </row>
    <row r="38" spans="1:16" x14ac:dyDescent="0.25">
      <c r="A38" t="s">
        <v>58</v>
      </c>
      <c r="B38" t="s">
        <v>101</v>
      </c>
      <c r="C38" t="s">
        <v>81</v>
      </c>
      <c r="D38">
        <v>5350</v>
      </c>
      <c r="E38">
        <f t="shared" si="21"/>
        <v>5350</v>
      </c>
      <c r="F38" s="15">
        <v>0</v>
      </c>
      <c r="G38">
        <v>588.20000000000005</v>
      </c>
      <c r="H38">
        <v>50.77</v>
      </c>
      <c r="I38" s="15">
        <v>0</v>
      </c>
      <c r="J38" s="15">
        <v>0</v>
      </c>
      <c r="K38" s="15">
        <v>0</v>
      </c>
      <c r="L38">
        <f t="shared" si="24"/>
        <v>638.97</v>
      </c>
      <c r="M38" s="5">
        <f t="shared" si="22"/>
        <v>4711.03</v>
      </c>
      <c r="N38" s="10">
        <v>510.86</v>
      </c>
      <c r="O38" s="10">
        <v>882.75</v>
      </c>
      <c r="P38" s="35">
        <f t="shared" si="23"/>
        <v>1393.6100000000001</v>
      </c>
    </row>
    <row r="39" spans="1:16" x14ac:dyDescent="0.25">
      <c r="A39" t="s">
        <v>59</v>
      </c>
      <c r="B39" t="s">
        <v>95</v>
      </c>
      <c r="C39" t="s">
        <v>82</v>
      </c>
      <c r="D39">
        <v>5350</v>
      </c>
      <c r="E39">
        <f t="shared" si="21"/>
        <v>5350</v>
      </c>
      <c r="F39" s="15">
        <v>0</v>
      </c>
      <c r="G39">
        <v>588.20000000000005</v>
      </c>
      <c r="H39">
        <v>50.77</v>
      </c>
      <c r="I39" s="15">
        <v>0</v>
      </c>
      <c r="J39" s="15">
        <v>0</v>
      </c>
      <c r="K39" s="15">
        <v>0</v>
      </c>
      <c r="L39">
        <f t="shared" si="24"/>
        <v>638.97</v>
      </c>
      <c r="M39" s="5">
        <f t="shared" si="22"/>
        <v>4711.03</v>
      </c>
      <c r="N39" s="10">
        <v>510.86</v>
      </c>
      <c r="O39" s="10">
        <v>882.75</v>
      </c>
      <c r="P39" s="35">
        <f t="shared" si="23"/>
        <v>1393.6100000000001</v>
      </c>
    </row>
    <row r="40" spans="1:16" x14ac:dyDescent="0.25">
      <c r="A40" t="s">
        <v>60</v>
      </c>
      <c r="B40" t="s">
        <v>102</v>
      </c>
      <c r="C40" t="s">
        <v>82</v>
      </c>
      <c r="D40">
        <v>5350</v>
      </c>
      <c r="E40">
        <f t="shared" si="21"/>
        <v>5350</v>
      </c>
      <c r="F40" s="15">
        <v>0</v>
      </c>
      <c r="G40">
        <v>588.20000000000005</v>
      </c>
      <c r="H40">
        <v>50.77</v>
      </c>
      <c r="I40" s="15">
        <v>0</v>
      </c>
      <c r="J40" s="15">
        <v>0</v>
      </c>
      <c r="K40" s="15">
        <v>0</v>
      </c>
      <c r="L40">
        <f t="shared" si="24"/>
        <v>638.97</v>
      </c>
      <c r="M40" s="5">
        <f t="shared" si="22"/>
        <v>4711.03</v>
      </c>
      <c r="N40" s="10">
        <v>510.86</v>
      </c>
      <c r="O40" s="10">
        <v>882.75</v>
      </c>
      <c r="P40" s="35">
        <f t="shared" si="23"/>
        <v>1393.6100000000001</v>
      </c>
    </row>
    <row r="41" spans="1:16" x14ac:dyDescent="0.25">
      <c r="A41" t="s">
        <v>61</v>
      </c>
      <c r="B41" t="s">
        <v>85</v>
      </c>
      <c r="C41" t="s">
        <v>83</v>
      </c>
      <c r="D41">
        <v>5350</v>
      </c>
      <c r="E41">
        <f t="shared" si="21"/>
        <v>5350</v>
      </c>
      <c r="F41" s="15">
        <v>0</v>
      </c>
      <c r="G41">
        <v>588.20000000000005</v>
      </c>
      <c r="H41">
        <v>50.77</v>
      </c>
      <c r="I41" s="15">
        <v>0</v>
      </c>
      <c r="J41" s="15">
        <v>0</v>
      </c>
      <c r="K41" s="15">
        <v>0</v>
      </c>
      <c r="L41">
        <f t="shared" si="24"/>
        <v>638.97</v>
      </c>
      <c r="M41" s="5">
        <f t="shared" si="22"/>
        <v>4711.03</v>
      </c>
      <c r="N41" s="10">
        <v>510.86</v>
      </c>
      <c r="O41" s="10">
        <v>882.75</v>
      </c>
      <c r="P41" s="35">
        <f t="shared" si="23"/>
        <v>1393.6100000000001</v>
      </c>
    </row>
    <row r="42" spans="1:16" x14ac:dyDescent="0.25">
      <c r="A42" t="s">
        <v>62</v>
      </c>
      <c r="B42" t="s">
        <v>103</v>
      </c>
      <c r="C42" t="s">
        <v>83</v>
      </c>
      <c r="D42">
        <v>5350</v>
      </c>
      <c r="E42">
        <f t="shared" si="21"/>
        <v>5350</v>
      </c>
      <c r="F42" s="15">
        <v>0</v>
      </c>
      <c r="G42">
        <v>588.20000000000005</v>
      </c>
      <c r="H42">
        <v>50.77</v>
      </c>
      <c r="I42" s="15">
        <v>0</v>
      </c>
      <c r="J42" s="15">
        <v>0</v>
      </c>
      <c r="K42" s="15">
        <v>0</v>
      </c>
      <c r="L42">
        <f t="shared" si="24"/>
        <v>638.97</v>
      </c>
      <c r="M42" s="5">
        <f t="shared" si="22"/>
        <v>4711.03</v>
      </c>
      <c r="N42" s="10">
        <v>510.86</v>
      </c>
      <c r="O42" s="10">
        <v>882.75</v>
      </c>
      <c r="P42" s="35">
        <f t="shared" si="23"/>
        <v>1393.6100000000001</v>
      </c>
    </row>
    <row r="43" spans="1:16" x14ac:dyDescent="0.25">
      <c r="A43" s="2" t="s">
        <v>26</v>
      </c>
      <c r="D43" s="34">
        <f>SUM(D32:D42)</f>
        <v>58850</v>
      </c>
      <c r="E43" s="34">
        <f t="shared" ref="E43:M43" si="25">SUM(E32:E42)</f>
        <v>58850</v>
      </c>
      <c r="F43" s="34">
        <f t="shared" si="25"/>
        <v>0</v>
      </c>
      <c r="G43" s="34">
        <f t="shared" si="25"/>
        <v>6470.1999999999989</v>
      </c>
      <c r="H43" s="34">
        <f t="shared" si="25"/>
        <v>558.46999999999991</v>
      </c>
      <c r="I43" s="34">
        <f t="shared" si="25"/>
        <v>0</v>
      </c>
      <c r="J43" s="34">
        <f t="shared" si="25"/>
        <v>0</v>
      </c>
      <c r="K43" s="34">
        <f t="shared" si="25"/>
        <v>0</v>
      </c>
      <c r="L43" s="34">
        <f t="shared" si="25"/>
        <v>7028.6700000000019</v>
      </c>
      <c r="M43" s="34">
        <f t="shared" si="25"/>
        <v>51821.329999999994</v>
      </c>
      <c r="N43" s="34">
        <f t="shared" ref="N43" si="26">SUM(N32:N42)</f>
        <v>5619.46</v>
      </c>
      <c r="O43" s="34">
        <f t="shared" ref="O43" si="27">SUM(O32:O42)</f>
        <v>9710.25</v>
      </c>
      <c r="P43" s="34">
        <f t="shared" ref="P43" si="28">SUM(P32:P42)</f>
        <v>15329.710000000005</v>
      </c>
    </row>
    <row r="45" spans="1:16" x14ac:dyDescent="0.25">
      <c r="A45" s="2" t="s">
        <v>63</v>
      </c>
      <c r="B45" s="2" t="s">
        <v>64</v>
      </c>
    </row>
    <row r="46" spans="1:16" x14ac:dyDescent="0.25">
      <c r="A46" t="s">
        <v>65</v>
      </c>
      <c r="B46" t="s">
        <v>99</v>
      </c>
      <c r="C46" t="s">
        <v>80</v>
      </c>
      <c r="D46">
        <v>5350</v>
      </c>
      <c r="E46">
        <f>D46</f>
        <v>5350</v>
      </c>
      <c r="F46" s="15">
        <v>0</v>
      </c>
      <c r="G46">
        <v>588.20000000000005</v>
      </c>
      <c r="H46">
        <v>50.77</v>
      </c>
      <c r="I46" s="15">
        <v>0</v>
      </c>
      <c r="J46" s="15">
        <v>0</v>
      </c>
      <c r="K46" s="15">
        <v>0</v>
      </c>
      <c r="L46">
        <f>SUM(F46:K46)</f>
        <v>638.97</v>
      </c>
      <c r="M46" s="5">
        <f>E46-L46</f>
        <v>4711.03</v>
      </c>
      <c r="N46" s="10">
        <v>510.86</v>
      </c>
      <c r="O46" s="10">
        <v>882.75</v>
      </c>
      <c r="P46" s="35">
        <f t="shared" ref="P46" si="29">N46+O46</f>
        <v>1393.6100000000001</v>
      </c>
    </row>
    <row r="47" spans="1:16" x14ac:dyDescent="0.25">
      <c r="A47" s="2" t="s">
        <v>26</v>
      </c>
      <c r="D47" s="34">
        <f>D46</f>
        <v>5350</v>
      </c>
      <c r="E47" s="34">
        <f t="shared" ref="E47:M47" si="30">E46</f>
        <v>5350</v>
      </c>
      <c r="F47" s="34">
        <f t="shared" si="30"/>
        <v>0</v>
      </c>
      <c r="G47" s="34">
        <f t="shared" si="30"/>
        <v>588.20000000000005</v>
      </c>
      <c r="H47" s="34">
        <f t="shared" si="30"/>
        <v>50.77</v>
      </c>
      <c r="I47" s="34">
        <f t="shared" si="30"/>
        <v>0</v>
      </c>
      <c r="J47" s="34">
        <f t="shared" si="30"/>
        <v>0</v>
      </c>
      <c r="K47" s="34">
        <f t="shared" si="30"/>
        <v>0</v>
      </c>
      <c r="L47" s="34">
        <f t="shared" si="30"/>
        <v>638.97</v>
      </c>
      <c r="M47" s="34">
        <f t="shared" si="30"/>
        <v>4711.03</v>
      </c>
      <c r="N47" s="34">
        <f t="shared" ref="N47" si="31">N46</f>
        <v>510.86</v>
      </c>
      <c r="O47" s="34">
        <f t="shared" ref="O47" si="32">O46</f>
        <v>882.75</v>
      </c>
      <c r="P47" s="34">
        <f t="shared" ref="P47" si="33">P46</f>
        <v>1393.6100000000001</v>
      </c>
    </row>
    <row r="49" spans="1:16" x14ac:dyDescent="0.25">
      <c r="A49" s="2" t="s">
        <v>66</v>
      </c>
    </row>
    <row r="50" spans="1:16" x14ac:dyDescent="0.25">
      <c r="A50" t="s">
        <v>67</v>
      </c>
      <c r="C50" t="s">
        <v>84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f>SUM(F50:K50)</f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x14ac:dyDescent="0.25">
      <c r="A51" s="11" t="s">
        <v>68</v>
      </c>
      <c r="B51" s="11" t="s">
        <v>92</v>
      </c>
      <c r="C51" s="11" t="s">
        <v>7</v>
      </c>
      <c r="D51" s="11">
        <v>2000</v>
      </c>
      <c r="E51" s="11">
        <f>D51</f>
        <v>2000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f>SUM(F51:K51)</f>
        <v>0</v>
      </c>
      <c r="M51" s="13">
        <f>E51-L51</f>
        <v>2000</v>
      </c>
      <c r="N51" s="15">
        <v>0</v>
      </c>
      <c r="O51" s="15">
        <v>0</v>
      </c>
      <c r="P51" s="15">
        <v>0</v>
      </c>
    </row>
    <row r="52" spans="1:16" x14ac:dyDescent="0.25">
      <c r="A52" t="s">
        <v>69</v>
      </c>
      <c r="C52" t="s">
        <v>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f t="shared" ref="L52:L54" si="34">SUM(F52:K52)</f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x14ac:dyDescent="0.25">
      <c r="A53" t="s">
        <v>70</v>
      </c>
      <c r="C53" t="s">
        <v>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f t="shared" si="34"/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x14ac:dyDescent="0.25">
      <c r="A54" t="s">
        <v>71</v>
      </c>
      <c r="C54" t="s">
        <v>7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f t="shared" si="34"/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x14ac:dyDescent="0.25">
      <c r="A55" s="2" t="s">
        <v>26</v>
      </c>
      <c r="D55" s="8">
        <f>SUM(D50:D54)</f>
        <v>2000</v>
      </c>
      <c r="E55" s="8">
        <f t="shared" ref="E55:M55" si="35">SUM(E50:E54)</f>
        <v>2000</v>
      </c>
      <c r="F55" s="8">
        <f t="shared" si="35"/>
        <v>0</v>
      </c>
      <c r="G55" s="8">
        <f t="shared" si="35"/>
        <v>0</v>
      </c>
      <c r="H55" s="8">
        <f t="shared" si="35"/>
        <v>0</v>
      </c>
      <c r="I55" s="8">
        <f t="shared" si="35"/>
        <v>0</v>
      </c>
      <c r="J55" s="8">
        <f t="shared" si="35"/>
        <v>0</v>
      </c>
      <c r="K55" s="8">
        <f t="shared" si="35"/>
        <v>0</v>
      </c>
      <c r="L55" s="8">
        <f t="shared" si="35"/>
        <v>0</v>
      </c>
      <c r="M55" s="8">
        <f t="shared" si="35"/>
        <v>2000</v>
      </c>
      <c r="N55" s="8">
        <f t="shared" ref="N55" si="36">SUM(N50:N54)</f>
        <v>0</v>
      </c>
      <c r="O55" s="8">
        <f t="shared" ref="O55" si="37">SUM(O50:O54)</f>
        <v>0</v>
      </c>
      <c r="P55" s="8">
        <f t="shared" ref="P55" si="38">SUM(P50:P54)</f>
        <v>0</v>
      </c>
    </row>
    <row r="58" spans="1:16" ht="18.75" x14ac:dyDescent="0.3">
      <c r="C58" s="4" t="s">
        <v>105</v>
      </c>
      <c r="D58" s="9">
        <f>D8+D19+D24+D29+D43+D47+D55</f>
        <v>108704.95</v>
      </c>
      <c r="E58" s="9">
        <f>E8+E19+E24+E29+E43+E47+E55</f>
        <v>108704.95</v>
      </c>
      <c r="F58" s="9">
        <f t="shared" ref="F58:P58" si="39">F8+F19+F24+F29+F43+F47+F55</f>
        <v>0</v>
      </c>
      <c r="G58" s="9">
        <f t="shared" si="39"/>
        <v>12758.38</v>
      </c>
      <c r="H58" s="9">
        <f t="shared" si="39"/>
        <v>1024.7049999999999</v>
      </c>
      <c r="I58" s="9">
        <f t="shared" si="39"/>
        <v>0</v>
      </c>
      <c r="J58" s="9">
        <f t="shared" si="39"/>
        <v>0</v>
      </c>
      <c r="K58" s="9">
        <f t="shared" si="39"/>
        <v>0</v>
      </c>
      <c r="L58" s="9">
        <f t="shared" si="39"/>
        <v>13783.085000000001</v>
      </c>
      <c r="M58" s="9">
        <f t="shared" si="39"/>
        <v>94921.864999999991</v>
      </c>
      <c r="N58" s="9">
        <f t="shared" si="39"/>
        <v>10016.870000000001</v>
      </c>
      <c r="O58" s="9">
        <f t="shared" si="39"/>
        <v>17606.309999999998</v>
      </c>
      <c r="P58" s="9">
        <f t="shared" si="39"/>
        <v>27623.180000000008</v>
      </c>
    </row>
    <row r="61" spans="1:16" x14ac:dyDescent="0.25">
      <c r="B61" s="33"/>
    </row>
  </sheetData>
  <mergeCells count="1">
    <mergeCell ref="D2:P2"/>
  </mergeCells>
  <pageMargins left="0.7" right="0.7" top="0.75" bottom="0.75" header="0.3" footer="0.3"/>
  <pageSetup orientation="portrait" verticalDpi="0" r:id="rId1"/>
  <ignoredErrors>
    <ignoredError sqref="L22:L23 L28 L50 L52:L54 L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9"/>
  <sheetViews>
    <sheetView workbookViewId="0">
      <pane xSplit="4" ySplit="4" topLeftCell="E44" activePane="bottomRight" state="frozen"/>
      <selection pane="topRight" activeCell="E1" sqref="E1"/>
      <selection pane="bottomLeft" activeCell="A4" sqref="A4"/>
      <selection pane="bottomRight" activeCell="R6" sqref="R6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6" max="7" width="11.42578125" customWidth="1"/>
    <col min="8" max="8" width="21.28515625" customWidth="1"/>
    <col min="9" max="9" width="11.42578125" customWidth="1"/>
    <col min="10" max="10" width="14.5703125" customWidth="1"/>
    <col min="11" max="11" width="13.42578125" customWidth="1"/>
    <col min="12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1:19" ht="18.75" x14ac:dyDescent="0.25">
      <c r="C2" s="86" t="s">
        <v>155</v>
      </c>
      <c r="D2" s="8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9" ht="15.75" thickBot="1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154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1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9" x14ac:dyDescent="0.25">
      <c r="B6" t="s">
        <v>21</v>
      </c>
      <c r="C6" s="11" t="s">
        <v>22</v>
      </c>
      <c r="D6" t="s">
        <v>25</v>
      </c>
      <c r="E6" s="15">
        <f>16954.95*24</f>
        <v>406918.80000000005</v>
      </c>
      <c r="F6" s="29">
        <v>15</v>
      </c>
      <c r="G6" s="15">
        <v>0</v>
      </c>
      <c r="H6" s="15">
        <f>E6+G6</f>
        <v>406918.80000000005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H6*0.115</f>
        <v>46795.662000000004</v>
      </c>
      <c r="O6" s="15">
        <f>SUM(K6:N6)</f>
        <v>50042.592000000004</v>
      </c>
      <c r="P6" s="18">
        <f>H6-O6</f>
        <v>356876.20800000004</v>
      </c>
      <c r="Q6" s="10">
        <v>328.67</v>
      </c>
      <c r="R6" s="10">
        <v>3390.99</v>
      </c>
      <c r="S6" s="35">
        <f>SUM(Q6:R6)</f>
        <v>3719.66</v>
      </c>
    </row>
    <row r="7" spans="1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H7*0.115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1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>
        <v>0</v>
      </c>
      <c r="M8" s="15"/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1:19" x14ac:dyDescent="0.25">
      <c r="A9" s="30"/>
      <c r="B9" s="7" t="s">
        <v>26</v>
      </c>
      <c r="C9" s="30"/>
      <c r="D9" s="30"/>
      <c r="E9" s="34">
        <f>SUM(E6:E8)</f>
        <v>421768.80000000005</v>
      </c>
      <c r="F9" s="34">
        <v>0</v>
      </c>
      <c r="G9" s="34">
        <f t="shared" ref="G9:S9" si="4">SUM(G6:G8)</f>
        <v>0</v>
      </c>
      <c r="H9" s="34">
        <f t="shared" si="4"/>
        <v>421768.80000000005</v>
      </c>
      <c r="I9" s="34">
        <f t="shared" si="4"/>
        <v>0</v>
      </c>
      <c r="J9" s="34">
        <f t="shared" si="4"/>
        <v>5320.0599999999995</v>
      </c>
      <c r="K9" s="34">
        <f t="shared" si="4"/>
        <v>5320.0599999999995</v>
      </c>
      <c r="L9" s="34">
        <f t="shared" si="4"/>
        <v>0</v>
      </c>
      <c r="M9" s="34">
        <f t="shared" si="4"/>
        <v>0</v>
      </c>
      <c r="N9" s="34">
        <f t="shared" si="4"/>
        <v>48503.412000000004</v>
      </c>
      <c r="O9" s="34">
        <f t="shared" si="4"/>
        <v>53823.472000000009</v>
      </c>
      <c r="P9" s="34">
        <f t="shared" si="4"/>
        <v>367945.32800000004</v>
      </c>
      <c r="Q9" s="34">
        <f t="shared" si="4"/>
        <v>867.78</v>
      </c>
      <c r="R9" s="34">
        <f t="shared" si="4"/>
        <v>6360.99</v>
      </c>
      <c r="S9" s="34">
        <f t="shared" si="4"/>
        <v>7228.7699999999995</v>
      </c>
    </row>
    <row r="10" spans="1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H12*0.115</f>
        <v>1150</v>
      </c>
      <c r="O12" s="15">
        <f t="shared" ref="O12:O17" si="5">SUM(K12:N12)</f>
        <v>2731.44</v>
      </c>
      <c r="P12" s="18">
        <f t="shared" ref="P12:P19" si="6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1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5.94</v>
      </c>
      <c r="H13" s="15">
        <f t="shared" ref="H13:H19" si="7">E13-G13</f>
        <v>5344.06</v>
      </c>
      <c r="I13" s="15">
        <v>0</v>
      </c>
      <c r="J13" s="15">
        <v>587.55999999999995</v>
      </c>
      <c r="K13" s="15">
        <f t="shared" ref="K13:K19" si="8">J13-I13</f>
        <v>587.55999999999995</v>
      </c>
      <c r="L13" s="15">
        <v>0</v>
      </c>
      <c r="M13" s="15">
        <v>0</v>
      </c>
      <c r="N13" s="15">
        <f t="shared" ref="N13:N19" si="9">H13*0.115</f>
        <v>614.56690000000003</v>
      </c>
      <c r="O13" s="15">
        <f t="shared" si="5"/>
        <v>1202.1269</v>
      </c>
      <c r="P13" s="18">
        <f t="shared" si="6"/>
        <v>4141.9331000000002</v>
      </c>
      <c r="Q13" s="10">
        <v>256.68</v>
      </c>
      <c r="R13" s="10">
        <v>1070</v>
      </c>
      <c r="S13" s="35">
        <f>Q13+R13</f>
        <v>1326.68</v>
      </c>
    </row>
    <row r="14" spans="1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36.51</v>
      </c>
      <c r="H14" s="15">
        <f t="shared" si="7"/>
        <v>5313.49</v>
      </c>
      <c r="I14" s="3">
        <v>0</v>
      </c>
      <c r="J14" s="3">
        <v>584.29999999999995</v>
      </c>
      <c r="K14" s="15">
        <f t="shared" si="8"/>
        <v>584.29999999999995</v>
      </c>
      <c r="L14" s="3">
        <v>0</v>
      </c>
      <c r="M14" s="3">
        <v>0</v>
      </c>
      <c r="N14" s="15">
        <f t="shared" si="9"/>
        <v>611.05134999999996</v>
      </c>
      <c r="O14" s="15">
        <f t="shared" si="5"/>
        <v>1195.3513499999999</v>
      </c>
      <c r="P14" s="18">
        <f t="shared" si="6"/>
        <v>4118.1386499999999</v>
      </c>
      <c r="Q14" s="27">
        <v>256.68</v>
      </c>
      <c r="R14" s="10">
        <v>1070</v>
      </c>
      <c r="S14" s="35">
        <f>Q14+R14</f>
        <v>1326.68</v>
      </c>
    </row>
    <row r="15" spans="1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7"/>
        <v>6000</v>
      </c>
      <c r="I15" s="15">
        <v>0</v>
      </c>
      <c r="J15" s="15">
        <v>727.04</v>
      </c>
      <c r="K15" s="15">
        <f t="shared" si="8"/>
        <v>727.04</v>
      </c>
      <c r="L15" s="15">
        <v>0</v>
      </c>
      <c r="M15" s="15">
        <v>0</v>
      </c>
      <c r="N15" s="15">
        <f t="shared" si="9"/>
        <v>690</v>
      </c>
      <c r="O15" s="15">
        <f t="shared" si="5"/>
        <v>1417.04</v>
      </c>
      <c r="P15" s="18">
        <f t="shared" si="6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1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 t="shared" si="9"/>
        <v>517.5</v>
      </c>
      <c r="O16" s="15">
        <f t="shared" si="5"/>
        <v>946.47</v>
      </c>
      <c r="P16" s="18">
        <f t="shared" si="6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1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7"/>
        <v>4500</v>
      </c>
      <c r="I17" s="15">
        <v>0</v>
      </c>
      <c r="J17" s="15">
        <v>428.97</v>
      </c>
      <c r="K17" s="15">
        <f t="shared" si="8"/>
        <v>428.97</v>
      </c>
      <c r="L17" s="15">
        <v>0</v>
      </c>
      <c r="M17" s="15">
        <v>0</v>
      </c>
      <c r="N17" s="15">
        <f t="shared" si="9"/>
        <v>517.5</v>
      </c>
      <c r="O17" s="15">
        <f t="shared" si="5"/>
        <v>946.47</v>
      </c>
      <c r="P17" s="18">
        <f t="shared" si="6"/>
        <v>3553.5299999999997</v>
      </c>
      <c r="Q17" s="10">
        <v>251.41</v>
      </c>
      <c r="R17" s="10">
        <v>900</v>
      </c>
      <c r="S17" s="35">
        <f t="shared" ref="S17:S19" si="10">Q17+R17</f>
        <v>1151.4100000000001</v>
      </c>
    </row>
    <row r="18" spans="1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7"/>
        <v>2700</v>
      </c>
      <c r="I18" s="15">
        <v>147.32</v>
      </c>
      <c r="J18" s="15">
        <v>188.33</v>
      </c>
      <c r="K18" s="15">
        <f t="shared" si="8"/>
        <v>41.010000000000019</v>
      </c>
      <c r="L18" s="15">
        <v>0</v>
      </c>
      <c r="M18" s="15">
        <v>0</v>
      </c>
      <c r="N18" s="15">
        <f t="shared" si="9"/>
        <v>310.5</v>
      </c>
      <c r="O18" s="15">
        <f>SUM(K18:N18)</f>
        <v>351.51</v>
      </c>
      <c r="P18" s="18">
        <f t="shared" si="6"/>
        <v>2348.4899999999998</v>
      </c>
      <c r="Q18" s="10">
        <v>240.25</v>
      </c>
      <c r="R18" s="10">
        <v>540</v>
      </c>
      <c r="S18" s="35">
        <f t="shared" si="10"/>
        <v>780.25</v>
      </c>
    </row>
    <row r="19" spans="1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7"/>
        <v>3150</v>
      </c>
      <c r="I19" s="15">
        <v>126.77</v>
      </c>
      <c r="J19" s="15">
        <v>237.29</v>
      </c>
      <c r="K19" s="15">
        <f t="shared" si="8"/>
        <v>110.52</v>
      </c>
      <c r="L19" s="15">
        <v>0</v>
      </c>
      <c r="M19" s="15">
        <v>0</v>
      </c>
      <c r="N19" s="15">
        <f t="shared" si="9"/>
        <v>362.25</v>
      </c>
      <c r="O19" s="15">
        <f>SUM(K19:N19)</f>
        <v>472.77</v>
      </c>
      <c r="P19" s="18">
        <f t="shared" si="6"/>
        <v>2677.23</v>
      </c>
      <c r="Q19" s="10">
        <v>243.04</v>
      </c>
      <c r="R19" s="10">
        <v>630</v>
      </c>
      <c r="S19" s="35">
        <f t="shared" si="10"/>
        <v>873.04</v>
      </c>
    </row>
    <row r="20" spans="1:19" x14ac:dyDescent="0.25">
      <c r="A20" s="30"/>
      <c r="B20" s="2" t="s">
        <v>26</v>
      </c>
      <c r="C20" s="30"/>
      <c r="D20" s="30"/>
      <c r="E20" s="34">
        <f t="shared" ref="E20:S20" si="11">SUM(E12:E19)</f>
        <v>41550</v>
      </c>
      <c r="F20" s="34"/>
      <c r="G20" s="34">
        <f t="shared" si="11"/>
        <v>42.449999999999996</v>
      </c>
      <c r="H20" s="34">
        <f t="shared" si="11"/>
        <v>41507.550000000003</v>
      </c>
      <c r="I20" s="34">
        <f t="shared" si="11"/>
        <v>274.08999999999997</v>
      </c>
      <c r="J20" s="34">
        <f t="shared" si="11"/>
        <v>4763.9000000000005</v>
      </c>
      <c r="K20" s="34">
        <f t="shared" si="11"/>
        <v>4489.8100000000013</v>
      </c>
      <c r="L20" s="34">
        <f t="shared" si="11"/>
        <v>0</v>
      </c>
      <c r="M20" s="34">
        <f t="shared" si="11"/>
        <v>0</v>
      </c>
      <c r="N20" s="34">
        <f t="shared" si="11"/>
        <v>4773.3682499999995</v>
      </c>
      <c r="O20" s="34">
        <f t="shared" si="11"/>
        <v>9263.1782500000008</v>
      </c>
      <c r="P20" s="34">
        <f t="shared" si="11"/>
        <v>32244.371749999995</v>
      </c>
      <c r="Q20" s="34">
        <f t="shared" si="11"/>
        <v>2045.7200000000003</v>
      </c>
      <c r="R20" s="34">
        <f t="shared" si="11"/>
        <v>8310</v>
      </c>
      <c r="S20" s="34">
        <f t="shared" si="11"/>
        <v>10355.720000000001</v>
      </c>
    </row>
    <row r="21" spans="1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1.69</v>
      </c>
      <c r="H23" s="15">
        <f>E23-G23</f>
        <v>5348.31</v>
      </c>
      <c r="I23" s="15">
        <v>0</v>
      </c>
      <c r="J23" s="15">
        <v>588.02</v>
      </c>
      <c r="K23" s="15">
        <f>J23-I23</f>
        <v>588.02</v>
      </c>
      <c r="L23" s="15">
        <v>0</v>
      </c>
      <c r="M23" s="15">
        <v>0</v>
      </c>
      <c r="N23" s="15">
        <f>H23*0.115</f>
        <v>615.05565000000013</v>
      </c>
      <c r="O23" s="15">
        <f>SUM(K23:N23)</f>
        <v>1203.0756500000002</v>
      </c>
      <c r="P23" s="18">
        <f>H23-O23</f>
        <v>4145.2343500000006</v>
      </c>
      <c r="Q23" s="10">
        <v>256.68</v>
      </c>
      <c r="R23" s="10">
        <v>1070</v>
      </c>
      <c r="S23" s="35">
        <f>Q23+R23</f>
        <v>1326.68</v>
      </c>
    </row>
    <row r="24" spans="1:19" x14ac:dyDescent="0.25">
      <c r="A24" s="30"/>
      <c r="B24" s="2" t="s">
        <v>26</v>
      </c>
      <c r="C24" s="30"/>
      <c r="D24" s="30"/>
      <c r="E24" s="34">
        <f>SUM(E23:E23)</f>
        <v>5350</v>
      </c>
      <c r="F24" s="34"/>
      <c r="G24" s="34">
        <f>G23</f>
        <v>1.69</v>
      </c>
      <c r="H24" s="34">
        <f t="shared" ref="H24:S24" si="12">SUM(H23:H23)</f>
        <v>5348.31</v>
      </c>
      <c r="I24" s="34">
        <f t="shared" si="12"/>
        <v>0</v>
      </c>
      <c r="J24" s="34">
        <f t="shared" si="12"/>
        <v>588.02</v>
      </c>
      <c r="K24" s="34">
        <f t="shared" si="12"/>
        <v>588.02</v>
      </c>
      <c r="L24" s="34">
        <f t="shared" si="12"/>
        <v>0</v>
      </c>
      <c r="M24" s="34">
        <f t="shared" si="12"/>
        <v>0</v>
      </c>
      <c r="N24" s="34">
        <f t="shared" si="12"/>
        <v>615.05565000000013</v>
      </c>
      <c r="O24" s="34">
        <f t="shared" si="12"/>
        <v>1203.0756500000002</v>
      </c>
      <c r="P24" s="34">
        <f t="shared" si="12"/>
        <v>4145.2343500000006</v>
      </c>
      <c r="Q24" s="34">
        <f t="shared" si="12"/>
        <v>256.68</v>
      </c>
      <c r="R24" s="34">
        <f t="shared" si="12"/>
        <v>1070</v>
      </c>
      <c r="S24" s="34">
        <f t="shared" si="12"/>
        <v>1326.68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0.84</v>
      </c>
      <c r="H27" s="15">
        <f>E27-G27</f>
        <v>5349.16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H27*0.115</f>
        <v>615.15340000000003</v>
      </c>
      <c r="O27" s="15">
        <f>SUM(K27:N27)</f>
        <v>1203.3534</v>
      </c>
      <c r="P27" s="18">
        <f>H27-O27</f>
        <v>4145.8065999999999</v>
      </c>
      <c r="Q27" s="10">
        <v>256.68</v>
      </c>
      <c r="R27" s="10">
        <v>1070</v>
      </c>
      <c r="S27" s="35">
        <f>Q27+R27</f>
        <v>1326.68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H28*0.115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1:19" x14ac:dyDescent="0.25">
      <c r="A29" s="30"/>
      <c r="B29" s="2" t="s">
        <v>26</v>
      </c>
      <c r="C29" s="30"/>
      <c r="D29" s="30"/>
      <c r="E29" s="34">
        <f>SUM(E27:E28)</f>
        <v>10700</v>
      </c>
      <c r="F29" s="34"/>
      <c r="G29" s="34">
        <f>SUM(G27:G28)</f>
        <v>0.84</v>
      </c>
      <c r="H29" s="34">
        <f>SUM(H27:H28)</f>
        <v>10699.16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1230.4034000000001</v>
      </c>
      <c r="O29" s="34">
        <f t="shared" si="13"/>
        <v>2406.8033999999998</v>
      </c>
      <c r="P29" s="34">
        <f t="shared" si="13"/>
        <v>8292.3565999999992</v>
      </c>
      <c r="Q29" s="34">
        <f t="shared" si="13"/>
        <v>513.36</v>
      </c>
      <c r="R29" s="34">
        <f t="shared" si="13"/>
        <v>2140</v>
      </c>
      <c r="S29" s="34">
        <f t="shared" si="13"/>
        <v>2653.36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0.84</v>
      </c>
      <c r="H32" s="15">
        <f>E32-G32</f>
        <v>5349.16</v>
      </c>
      <c r="I32" s="15">
        <v>0</v>
      </c>
      <c r="J32" s="15">
        <v>588.11</v>
      </c>
      <c r="K32" s="15">
        <f>J32-I32</f>
        <v>588.11</v>
      </c>
      <c r="L32" s="15">
        <v>0</v>
      </c>
      <c r="M32" s="15">
        <v>0</v>
      </c>
      <c r="N32" s="15">
        <f>H32*0.115</f>
        <v>615.15340000000003</v>
      </c>
      <c r="O32" s="15">
        <f>SUM(K32:N32)</f>
        <v>1203.2634</v>
      </c>
      <c r="P32" s="18">
        <f t="shared" ref="P32:P42" si="14">H32-O32</f>
        <v>4145.8966</v>
      </c>
      <c r="Q32" s="10">
        <v>256.68</v>
      </c>
      <c r="R32" s="10">
        <v>1070</v>
      </c>
      <c r="S32" s="35">
        <f t="shared" ref="S32:S42" si="15">Q32+R32</f>
        <v>1326.68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4.24</v>
      </c>
      <c r="H33" s="15">
        <f t="shared" ref="H33:H42" si="16">E33-G33</f>
        <v>5345.76</v>
      </c>
      <c r="I33" s="15">
        <v>0</v>
      </c>
      <c r="J33" s="15">
        <v>587.74</v>
      </c>
      <c r="K33" s="15">
        <f t="shared" ref="K33:K42" si="17">J33-I33</f>
        <v>587.74</v>
      </c>
      <c r="L33" s="15">
        <v>0</v>
      </c>
      <c r="M33" s="15">
        <v>0</v>
      </c>
      <c r="N33" s="15">
        <f t="shared" ref="N33:N42" si="18">H33*0.115</f>
        <v>614.76240000000007</v>
      </c>
      <c r="O33" s="15">
        <f t="shared" ref="O33:O42" si="19">SUM(K33:N33)</f>
        <v>1202.5024000000001</v>
      </c>
      <c r="P33" s="18">
        <f t="shared" si="14"/>
        <v>4143.2575999999999</v>
      </c>
      <c r="Q33" s="10">
        <v>256.68</v>
      </c>
      <c r="R33" s="10">
        <v>1070</v>
      </c>
      <c r="S33" s="35">
        <f t="shared" si="15"/>
        <v>1326.68</v>
      </c>
    </row>
    <row r="34" spans="1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8"/>
        <v>615.25</v>
      </c>
      <c r="O34" s="15">
        <f t="shared" si="19"/>
        <v>1203.45</v>
      </c>
      <c r="P34" s="18">
        <f t="shared" si="14"/>
        <v>4146.55</v>
      </c>
      <c r="Q34" s="10">
        <v>256.68</v>
      </c>
      <c r="R34" s="10">
        <v>1070</v>
      </c>
      <c r="S34" s="35">
        <f t="shared" si="15"/>
        <v>1326.68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8"/>
        <v>615.25</v>
      </c>
      <c r="O35" s="15">
        <f t="shared" si="19"/>
        <v>1203.45</v>
      </c>
      <c r="P35" s="18">
        <f t="shared" si="14"/>
        <v>4146.55</v>
      </c>
      <c r="Q35" s="10">
        <v>256.68</v>
      </c>
      <c r="R35" s="10">
        <v>1070</v>
      </c>
      <c r="S35" s="35">
        <f t="shared" si="15"/>
        <v>1326.68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8"/>
        <v>615.25</v>
      </c>
      <c r="O36" s="15">
        <f t="shared" si="19"/>
        <v>1203.45</v>
      </c>
      <c r="P36" s="18">
        <f t="shared" si="14"/>
        <v>4146.55</v>
      </c>
      <c r="Q36" s="10">
        <v>256.68</v>
      </c>
      <c r="R36" s="10">
        <v>1070</v>
      </c>
      <c r="S36" s="35">
        <f t="shared" si="15"/>
        <v>1326.68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8"/>
        <v>615.25</v>
      </c>
      <c r="O37" s="15">
        <f t="shared" si="19"/>
        <v>1203.45</v>
      </c>
      <c r="P37" s="18">
        <f t="shared" si="14"/>
        <v>4146.55</v>
      </c>
      <c r="Q37" s="10">
        <v>256.68</v>
      </c>
      <c r="R37" s="10">
        <v>1070</v>
      </c>
      <c r="S37" s="35">
        <f t="shared" si="15"/>
        <v>1326.68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8"/>
        <v>615.25</v>
      </c>
      <c r="O38" s="15">
        <f t="shared" si="19"/>
        <v>1203.45</v>
      </c>
      <c r="P38" s="18">
        <f t="shared" si="14"/>
        <v>4146.55</v>
      </c>
      <c r="Q38" s="10">
        <v>256.68</v>
      </c>
      <c r="R38" s="10">
        <v>1070</v>
      </c>
      <c r="S38" s="35">
        <f t="shared" si="15"/>
        <v>1326.68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8"/>
        <v>615.25</v>
      </c>
      <c r="O39" s="15">
        <f t="shared" si="19"/>
        <v>1203.45</v>
      </c>
      <c r="P39" s="18">
        <f t="shared" si="14"/>
        <v>4146.55</v>
      </c>
      <c r="Q39" s="10">
        <v>256.68</v>
      </c>
      <c r="R39" s="10">
        <v>1070</v>
      </c>
      <c r="S39" s="35">
        <f t="shared" si="15"/>
        <v>1326.68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6"/>
        <v>5350</v>
      </c>
      <c r="I40" s="15">
        <v>0</v>
      </c>
      <c r="J40" s="15">
        <v>588.20000000000005</v>
      </c>
      <c r="K40" s="15">
        <f t="shared" si="17"/>
        <v>588.20000000000005</v>
      </c>
      <c r="L40" s="15">
        <v>0</v>
      </c>
      <c r="M40" s="15">
        <v>0</v>
      </c>
      <c r="N40" s="15">
        <f t="shared" si="18"/>
        <v>615.25</v>
      </c>
      <c r="O40" s="15">
        <f t="shared" si="19"/>
        <v>1203.45</v>
      </c>
      <c r="P40" s="18">
        <f t="shared" si="14"/>
        <v>4146.55</v>
      </c>
      <c r="Q40" s="10">
        <v>256.68</v>
      </c>
      <c r="R40" s="10">
        <v>1070</v>
      </c>
      <c r="S40" s="35">
        <f t="shared" si="15"/>
        <v>1326.68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6"/>
        <v>5350</v>
      </c>
      <c r="I41" s="15">
        <v>0</v>
      </c>
      <c r="J41" s="15">
        <v>588.20000000000005</v>
      </c>
      <c r="K41" s="15">
        <f t="shared" si="17"/>
        <v>588.20000000000005</v>
      </c>
      <c r="L41" s="15">
        <v>0</v>
      </c>
      <c r="M41" s="15">
        <v>0</v>
      </c>
      <c r="N41" s="15">
        <f t="shared" si="18"/>
        <v>615.25</v>
      </c>
      <c r="O41" s="15">
        <f t="shared" si="19"/>
        <v>1203.45</v>
      </c>
      <c r="P41" s="18">
        <f t="shared" si="14"/>
        <v>4146.55</v>
      </c>
      <c r="Q41" s="10">
        <v>256.68</v>
      </c>
      <c r="R41" s="10">
        <v>1070</v>
      </c>
      <c r="S41" s="35">
        <f t="shared" si="15"/>
        <v>1326.68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6"/>
        <v>5350</v>
      </c>
      <c r="I42" s="15">
        <v>0</v>
      </c>
      <c r="J42" s="15">
        <v>588.20000000000005</v>
      </c>
      <c r="K42" s="15">
        <f t="shared" si="17"/>
        <v>588.20000000000005</v>
      </c>
      <c r="L42" s="15">
        <v>0</v>
      </c>
      <c r="M42" s="15">
        <v>0</v>
      </c>
      <c r="N42" s="15">
        <f t="shared" si="18"/>
        <v>615.25</v>
      </c>
      <c r="O42" s="15">
        <f t="shared" si="19"/>
        <v>1203.45</v>
      </c>
      <c r="P42" s="18">
        <f t="shared" si="14"/>
        <v>4146.55</v>
      </c>
      <c r="Q42" s="10">
        <v>256.68</v>
      </c>
      <c r="R42" s="10">
        <v>1070</v>
      </c>
      <c r="S42" s="35">
        <f t="shared" si="15"/>
        <v>1326.68</v>
      </c>
    </row>
    <row r="43" spans="1:19" x14ac:dyDescent="0.25">
      <c r="A43" s="30"/>
      <c r="B43" s="2" t="s">
        <v>26</v>
      </c>
      <c r="C43" s="30"/>
      <c r="D43" s="30"/>
      <c r="E43" s="34">
        <f>SUM(E32:E42)</f>
        <v>58850</v>
      </c>
      <c r="F43" s="34"/>
      <c r="G43" s="34">
        <f>SUM(G32:G42)</f>
        <v>5.08</v>
      </c>
      <c r="H43" s="34">
        <f>SUM(H32:H42)</f>
        <v>58844.92</v>
      </c>
      <c r="I43" s="34">
        <f t="shared" ref="I43:S43" si="20">SUM(I32:I42)</f>
        <v>0</v>
      </c>
      <c r="J43" s="34">
        <f t="shared" si="20"/>
        <v>6469.6499999999987</v>
      </c>
      <c r="K43" s="34">
        <f t="shared" si="20"/>
        <v>6469.6499999999987</v>
      </c>
      <c r="L43" s="34">
        <f t="shared" si="20"/>
        <v>0</v>
      </c>
      <c r="M43" s="34">
        <f t="shared" si="20"/>
        <v>0</v>
      </c>
      <c r="N43" s="34">
        <f t="shared" si="20"/>
        <v>6767.1658000000007</v>
      </c>
      <c r="O43" s="34">
        <f t="shared" si="20"/>
        <v>13236.815800000002</v>
      </c>
      <c r="P43" s="34">
        <f t="shared" si="20"/>
        <v>45608.104200000009</v>
      </c>
      <c r="Q43" s="34">
        <f t="shared" si="20"/>
        <v>2823.4799999999996</v>
      </c>
      <c r="R43" s="34">
        <f t="shared" si="20"/>
        <v>11770</v>
      </c>
      <c r="S43" s="34">
        <f t="shared" si="20"/>
        <v>14593.480000000001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22.07</v>
      </c>
      <c r="H46" s="15">
        <f>E46-G46</f>
        <v>5327.93</v>
      </c>
      <c r="I46" s="15">
        <v>0</v>
      </c>
      <c r="J46" s="15">
        <v>585.84</v>
      </c>
      <c r="K46" s="15">
        <f>J46-I46</f>
        <v>585.84</v>
      </c>
      <c r="L46" s="15">
        <v>0</v>
      </c>
      <c r="M46" s="15">
        <v>0</v>
      </c>
      <c r="N46" s="15">
        <f>H46*0.115</f>
        <v>612.71195000000012</v>
      </c>
      <c r="O46" s="15">
        <f>SUM(K46:N46)</f>
        <v>1198.55195</v>
      </c>
      <c r="P46" s="18">
        <f>H46-O46</f>
        <v>4129.3780500000003</v>
      </c>
      <c r="Q46" s="10">
        <v>256.68</v>
      </c>
      <c r="R46" s="10">
        <v>1070</v>
      </c>
      <c r="S46" s="35">
        <f t="shared" ref="S46:S47" si="21">Q46+R46</f>
        <v>1326.68</v>
      </c>
    </row>
    <row r="47" spans="1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E47-G47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H47*0.115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1"/>
        <v>1326.68</v>
      </c>
    </row>
    <row r="48" spans="1:19" x14ac:dyDescent="0.25">
      <c r="A48" s="30"/>
      <c r="B48" s="2" t="s">
        <v>26</v>
      </c>
      <c r="C48" s="30"/>
      <c r="D48" s="30"/>
      <c r="E48" s="34">
        <f>E46+E47</f>
        <v>10700</v>
      </c>
      <c r="F48" s="34"/>
      <c r="G48" s="34">
        <f>G46+G47</f>
        <v>22.07</v>
      </c>
      <c r="H48" s="34">
        <f t="shared" ref="H48:S48" si="22">H46+H47</f>
        <v>10677.93</v>
      </c>
      <c r="I48" s="34">
        <f t="shared" si="22"/>
        <v>0</v>
      </c>
      <c r="J48" s="34">
        <f t="shared" si="22"/>
        <v>1174.04</v>
      </c>
      <c r="K48" s="34">
        <f t="shared" si="22"/>
        <v>1174.04</v>
      </c>
      <c r="L48" s="34">
        <f t="shared" si="22"/>
        <v>0</v>
      </c>
      <c r="M48" s="34">
        <f t="shared" si="22"/>
        <v>0</v>
      </c>
      <c r="N48" s="34">
        <f t="shared" si="22"/>
        <v>1227.9619500000001</v>
      </c>
      <c r="O48" s="34">
        <f t="shared" si="22"/>
        <v>2402.0019499999999</v>
      </c>
      <c r="P48" s="34">
        <f t="shared" si="22"/>
        <v>8275.9280500000004</v>
      </c>
      <c r="Q48" s="34">
        <f t="shared" si="22"/>
        <v>513.36</v>
      </c>
      <c r="R48" s="34">
        <f t="shared" si="22"/>
        <v>2140</v>
      </c>
      <c r="S48" s="34">
        <f t="shared" si="22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548918.80000000005</v>
      </c>
      <c r="F51" s="17">
        <f t="shared" ref="F51:S51" si="23">F9+F20+F24+F29+F43+F48</f>
        <v>0</v>
      </c>
      <c r="G51" s="17">
        <f t="shared" si="23"/>
        <v>72.13</v>
      </c>
      <c r="H51" s="17">
        <f t="shared" si="23"/>
        <v>548846.67000000004</v>
      </c>
      <c r="I51" s="17">
        <f t="shared" si="23"/>
        <v>274.08999999999997</v>
      </c>
      <c r="J51" s="17">
        <f t="shared" si="23"/>
        <v>19492.07</v>
      </c>
      <c r="K51" s="17">
        <f t="shared" si="23"/>
        <v>19217.98</v>
      </c>
      <c r="L51" s="17">
        <f t="shared" si="23"/>
        <v>0</v>
      </c>
      <c r="M51" s="17">
        <f t="shared" si="23"/>
        <v>0</v>
      </c>
      <c r="N51" s="17">
        <f t="shared" si="23"/>
        <v>63117.367050000008</v>
      </c>
      <c r="O51" s="17">
        <f t="shared" si="23"/>
        <v>82335.347050000011</v>
      </c>
      <c r="P51" s="17">
        <f t="shared" si="23"/>
        <v>466511.32295</v>
      </c>
      <c r="Q51" s="17">
        <f t="shared" si="23"/>
        <v>7020.3799999999992</v>
      </c>
      <c r="R51" s="17">
        <f t="shared" si="23"/>
        <v>31790.989999999998</v>
      </c>
      <c r="S51" s="17">
        <f t="shared" si="23"/>
        <v>38811.370000000003</v>
      </c>
    </row>
    <row r="57" spans="2:19" ht="15.75" thickBot="1" x14ac:dyDescent="0.3">
      <c r="E57" s="89"/>
      <c r="F57" s="89"/>
      <c r="G57" s="89"/>
      <c r="J57" s="89"/>
      <c r="K57" s="89"/>
      <c r="L57" s="89"/>
    </row>
    <row r="58" spans="2:19" x14ac:dyDescent="0.25">
      <c r="E58" s="91" t="s">
        <v>146</v>
      </c>
      <c r="F58" s="91"/>
      <c r="G58" s="91"/>
      <c r="J58" s="92" t="s">
        <v>145</v>
      </c>
      <c r="K58" s="92"/>
      <c r="L58" s="92"/>
    </row>
    <row r="59" spans="2:19" ht="15.75" x14ac:dyDescent="0.3">
      <c r="E59" s="93" t="s">
        <v>144</v>
      </c>
      <c r="F59" s="93"/>
      <c r="G59" s="91"/>
      <c r="J59" s="93" t="s">
        <v>145</v>
      </c>
      <c r="K59" s="93"/>
      <c r="L59" s="93"/>
    </row>
  </sheetData>
  <mergeCells count="8">
    <mergeCell ref="E59:G59"/>
    <mergeCell ref="J59:L59"/>
    <mergeCell ref="C2:D2"/>
    <mergeCell ref="E3:S3"/>
    <mergeCell ref="E57:G57"/>
    <mergeCell ref="J57:L57"/>
    <mergeCell ref="E58:G58"/>
    <mergeCell ref="J58:L58"/>
  </mergeCells>
  <pageMargins left="0.70866141732283472" right="0.70866141732283472" top="0.74803149606299213" bottom="0.74803149606299213" header="0.31496062992125984" footer="0.31496062992125984"/>
  <pageSetup scale="57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7"/>
  <sheetViews>
    <sheetView topLeftCell="A34" workbookViewId="0">
      <selection activeCell="G12" sqref="G12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34.140625" customWidth="1"/>
    <col min="4" max="4" width="29.85546875" customWidth="1"/>
    <col min="5" max="5" width="18.42578125" customWidth="1"/>
    <col min="6" max="7" width="11.42578125" customWidth="1"/>
    <col min="8" max="8" width="21" customWidth="1"/>
    <col min="9" max="9" width="11.42578125" customWidth="1"/>
    <col min="10" max="10" width="14.5703125" customWidth="1"/>
    <col min="11" max="11" width="13.42578125" customWidth="1"/>
    <col min="12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1:19" ht="18.75" x14ac:dyDescent="0.25">
      <c r="C2" s="86" t="s">
        <v>156</v>
      </c>
      <c r="D2" s="8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9" ht="15.75" thickBot="1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154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1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H6*0.115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1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H7*0.115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1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/>
      <c r="M8" s="15"/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1:19" x14ac:dyDescent="0.25">
      <c r="A9" s="30"/>
      <c r="B9" s="7" t="s">
        <v>26</v>
      </c>
      <c r="C9" s="30"/>
      <c r="D9" s="30"/>
      <c r="E9" s="34">
        <f>SUM(E6:E8)</f>
        <v>31804.95</v>
      </c>
      <c r="F9" s="34"/>
      <c r="G9" s="34">
        <f t="shared" ref="G9" si="4">SUM(G6:G7)</f>
        <v>0</v>
      </c>
      <c r="H9" s="34">
        <f>SUM(H6:H8)</f>
        <v>31804.95</v>
      </c>
      <c r="I9" s="34">
        <f t="shared" ref="I9:S9" si="5">SUM(I6:I8)</f>
        <v>0</v>
      </c>
      <c r="J9" s="34">
        <f t="shared" si="5"/>
        <v>5320.0599999999995</v>
      </c>
      <c r="K9" s="34">
        <f t="shared" si="5"/>
        <v>5320.0599999999995</v>
      </c>
      <c r="L9" s="34">
        <f t="shared" si="5"/>
        <v>0</v>
      </c>
      <c r="M9" s="34">
        <f t="shared" si="5"/>
        <v>0</v>
      </c>
      <c r="N9" s="34">
        <f t="shared" si="5"/>
        <v>3657.5692500000005</v>
      </c>
      <c r="O9" s="34">
        <f t="shared" si="5"/>
        <v>8977.62925</v>
      </c>
      <c r="P9" s="34">
        <f t="shared" si="5"/>
        <v>22827.320749999999</v>
      </c>
      <c r="Q9" s="34">
        <f t="shared" si="5"/>
        <v>867.78</v>
      </c>
      <c r="R9" s="34">
        <f t="shared" si="5"/>
        <v>6360.99</v>
      </c>
      <c r="S9" s="34">
        <f t="shared" si="5"/>
        <v>7228.7699999999995</v>
      </c>
    </row>
    <row r="10" spans="1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H12*0.115</f>
        <v>1150</v>
      </c>
      <c r="O12" s="15">
        <f t="shared" ref="O12:O17" si="6">SUM(K12:N12)</f>
        <v>2731.44</v>
      </c>
      <c r="P12" s="18">
        <f t="shared" ref="P12:P19" si="7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1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0</v>
      </c>
      <c r="H13" s="15">
        <f t="shared" ref="H13:H19" si="8">E13-G13</f>
        <v>5350</v>
      </c>
      <c r="I13" s="15">
        <v>0</v>
      </c>
      <c r="J13" s="15">
        <v>588.20000000000005</v>
      </c>
      <c r="K13" s="15">
        <f t="shared" ref="K13:K19" si="9">J13-I13</f>
        <v>588.20000000000005</v>
      </c>
      <c r="L13" s="15">
        <v>0</v>
      </c>
      <c r="M13" s="15">
        <v>0</v>
      </c>
      <c r="N13" s="15">
        <f t="shared" ref="N13:N19" si="10">H13*0.115</f>
        <v>615.25</v>
      </c>
      <c r="O13" s="15">
        <f t="shared" si="6"/>
        <v>1203.45</v>
      </c>
      <c r="P13" s="18">
        <f t="shared" si="7"/>
        <v>4146.55</v>
      </c>
      <c r="Q13" s="10">
        <v>256.68</v>
      </c>
      <c r="R13" s="10">
        <v>1070</v>
      </c>
      <c r="S13" s="35">
        <f>Q13+R13</f>
        <v>1326.68</v>
      </c>
    </row>
    <row r="14" spans="1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0</v>
      </c>
      <c r="H14" s="15">
        <f t="shared" si="8"/>
        <v>5350</v>
      </c>
      <c r="I14" s="3">
        <v>0</v>
      </c>
      <c r="J14" s="3">
        <v>588.20000000000005</v>
      </c>
      <c r="K14" s="15">
        <f t="shared" si="9"/>
        <v>588.20000000000005</v>
      </c>
      <c r="L14" s="3">
        <v>0</v>
      </c>
      <c r="M14" s="3">
        <v>0</v>
      </c>
      <c r="N14" s="15">
        <f t="shared" si="10"/>
        <v>615.25</v>
      </c>
      <c r="O14" s="15">
        <f t="shared" si="6"/>
        <v>1203.45</v>
      </c>
      <c r="P14" s="18">
        <f t="shared" si="7"/>
        <v>4146.55</v>
      </c>
      <c r="Q14" s="27">
        <v>256.68</v>
      </c>
      <c r="R14" s="10">
        <v>1070</v>
      </c>
      <c r="S14" s="35">
        <f>Q14+R14</f>
        <v>1326.68</v>
      </c>
    </row>
    <row r="15" spans="1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8"/>
        <v>6000</v>
      </c>
      <c r="I15" s="15">
        <v>0</v>
      </c>
      <c r="J15" s="15">
        <v>727.04</v>
      </c>
      <c r="K15" s="15">
        <f t="shared" si="9"/>
        <v>727.04</v>
      </c>
      <c r="L15" s="15">
        <v>0</v>
      </c>
      <c r="M15" s="15">
        <v>0</v>
      </c>
      <c r="N15" s="15">
        <f t="shared" si="10"/>
        <v>690</v>
      </c>
      <c r="O15" s="15">
        <f t="shared" si="6"/>
        <v>1417.04</v>
      </c>
      <c r="P15" s="18">
        <f t="shared" si="7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1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8"/>
        <v>4500</v>
      </c>
      <c r="I16" s="15">
        <v>0</v>
      </c>
      <c r="J16" s="15">
        <v>428.97</v>
      </c>
      <c r="K16" s="15">
        <f t="shared" si="9"/>
        <v>428.97</v>
      </c>
      <c r="L16" s="15">
        <v>0</v>
      </c>
      <c r="M16" s="15">
        <v>0</v>
      </c>
      <c r="N16" s="15">
        <f t="shared" si="10"/>
        <v>517.5</v>
      </c>
      <c r="O16" s="15">
        <f t="shared" si="6"/>
        <v>946.47</v>
      </c>
      <c r="P16" s="18">
        <f t="shared" si="7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1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8"/>
        <v>4500</v>
      </c>
      <c r="I17" s="15">
        <v>0</v>
      </c>
      <c r="J17" s="15">
        <v>428.97</v>
      </c>
      <c r="K17" s="15">
        <f t="shared" si="9"/>
        <v>428.97</v>
      </c>
      <c r="L17" s="15">
        <v>0</v>
      </c>
      <c r="M17" s="15">
        <v>0</v>
      </c>
      <c r="N17" s="15">
        <f t="shared" si="10"/>
        <v>517.5</v>
      </c>
      <c r="O17" s="15">
        <f t="shared" si="6"/>
        <v>946.47</v>
      </c>
      <c r="P17" s="18">
        <f t="shared" si="7"/>
        <v>3553.5299999999997</v>
      </c>
      <c r="Q17" s="10">
        <v>251.41</v>
      </c>
      <c r="R17" s="10">
        <v>900</v>
      </c>
      <c r="S17" s="35">
        <f t="shared" ref="S17:S19" si="11">Q17+R17</f>
        <v>1151.4100000000001</v>
      </c>
    </row>
    <row r="18" spans="1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8"/>
        <v>2700</v>
      </c>
      <c r="I18" s="15">
        <v>147.32</v>
      </c>
      <c r="J18" s="15">
        <v>188.33</v>
      </c>
      <c r="K18" s="15">
        <f t="shared" si="9"/>
        <v>41.010000000000019</v>
      </c>
      <c r="L18" s="15">
        <v>0</v>
      </c>
      <c r="M18" s="15">
        <v>0</v>
      </c>
      <c r="N18" s="15">
        <f t="shared" si="10"/>
        <v>310.5</v>
      </c>
      <c r="O18" s="15">
        <f>SUM(K18:N18)</f>
        <v>351.51</v>
      </c>
      <c r="P18" s="18">
        <f t="shared" si="7"/>
        <v>2348.4899999999998</v>
      </c>
      <c r="Q18" s="10">
        <v>240.25</v>
      </c>
      <c r="R18" s="10">
        <v>540</v>
      </c>
      <c r="S18" s="35">
        <f t="shared" si="11"/>
        <v>780.25</v>
      </c>
    </row>
    <row r="19" spans="1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8"/>
        <v>3150</v>
      </c>
      <c r="I19" s="15">
        <v>126.77</v>
      </c>
      <c r="J19" s="15">
        <v>237.29</v>
      </c>
      <c r="K19" s="15">
        <f t="shared" si="9"/>
        <v>110.52</v>
      </c>
      <c r="L19" s="15">
        <v>0</v>
      </c>
      <c r="M19" s="15">
        <v>0</v>
      </c>
      <c r="N19" s="15">
        <f t="shared" si="10"/>
        <v>362.25</v>
      </c>
      <c r="O19" s="15">
        <f>SUM(K19:N19)</f>
        <v>472.77</v>
      </c>
      <c r="P19" s="18">
        <f t="shared" si="7"/>
        <v>2677.23</v>
      </c>
      <c r="Q19" s="10">
        <v>243.04</v>
      </c>
      <c r="R19" s="10">
        <v>630</v>
      </c>
      <c r="S19" s="35">
        <f t="shared" si="11"/>
        <v>873.04</v>
      </c>
    </row>
    <row r="20" spans="1:19" x14ac:dyDescent="0.25">
      <c r="A20" s="30"/>
      <c r="B20" s="2" t="s">
        <v>26</v>
      </c>
      <c r="C20" s="30"/>
      <c r="D20" s="30"/>
      <c r="E20" s="34">
        <f t="shared" ref="E20:S20" si="12">SUM(E12:E19)</f>
        <v>41550</v>
      </c>
      <c r="F20" s="34"/>
      <c r="G20" s="34">
        <f t="shared" si="12"/>
        <v>0</v>
      </c>
      <c r="H20" s="34">
        <f t="shared" si="12"/>
        <v>41550</v>
      </c>
      <c r="I20" s="34">
        <f t="shared" si="12"/>
        <v>274.08999999999997</v>
      </c>
      <c r="J20" s="34">
        <f t="shared" si="12"/>
        <v>4768.4400000000005</v>
      </c>
      <c r="K20" s="34">
        <f t="shared" si="12"/>
        <v>4494.3500000000013</v>
      </c>
      <c r="L20" s="34">
        <f t="shared" si="12"/>
        <v>0</v>
      </c>
      <c r="M20" s="34">
        <f t="shared" si="12"/>
        <v>0</v>
      </c>
      <c r="N20" s="34">
        <f t="shared" si="12"/>
        <v>4778.25</v>
      </c>
      <c r="O20" s="34">
        <f t="shared" si="12"/>
        <v>9272.6</v>
      </c>
      <c r="P20" s="34">
        <f t="shared" si="12"/>
        <v>32277.399999999998</v>
      </c>
      <c r="Q20" s="34">
        <f t="shared" si="12"/>
        <v>2045.7200000000003</v>
      </c>
      <c r="R20" s="34">
        <f t="shared" si="12"/>
        <v>8310</v>
      </c>
      <c r="S20" s="34">
        <f t="shared" si="12"/>
        <v>10355.720000000001</v>
      </c>
    </row>
    <row r="21" spans="1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H23*0.115</f>
        <v>615.25</v>
      </c>
      <c r="O23" s="15">
        <f>SUM(K23:N23)</f>
        <v>1203.45</v>
      </c>
      <c r="P23" s="18">
        <f>H23-O23</f>
        <v>4146.55</v>
      </c>
      <c r="Q23" s="10">
        <v>256.68</v>
      </c>
      <c r="R23" s="10">
        <v>1070</v>
      </c>
      <c r="S23" s="35">
        <f>Q23+R23</f>
        <v>1326.68</v>
      </c>
    </row>
    <row r="24" spans="1:19" x14ac:dyDescent="0.25">
      <c r="A24" s="30"/>
      <c r="B24" s="2" t="s">
        <v>26</v>
      </c>
      <c r="C24" s="30"/>
      <c r="D24" s="30"/>
      <c r="E24" s="34">
        <f>SUM(E23:E23)</f>
        <v>5350</v>
      </c>
      <c r="F24" s="34"/>
      <c r="G24" s="34">
        <f>G23</f>
        <v>0</v>
      </c>
      <c r="H24" s="34">
        <f t="shared" ref="H24:S24" si="13">SUM(H23:H23)</f>
        <v>5350</v>
      </c>
      <c r="I24" s="34">
        <f t="shared" si="13"/>
        <v>0</v>
      </c>
      <c r="J24" s="34">
        <f t="shared" si="13"/>
        <v>588.20000000000005</v>
      </c>
      <c r="K24" s="34">
        <f t="shared" si="13"/>
        <v>588.20000000000005</v>
      </c>
      <c r="L24" s="34">
        <f t="shared" si="13"/>
        <v>0</v>
      </c>
      <c r="M24" s="34">
        <f t="shared" si="13"/>
        <v>0</v>
      </c>
      <c r="N24" s="34">
        <f t="shared" si="13"/>
        <v>615.25</v>
      </c>
      <c r="O24" s="34">
        <f t="shared" si="13"/>
        <v>1203.45</v>
      </c>
      <c r="P24" s="34">
        <f t="shared" si="13"/>
        <v>4146.55</v>
      </c>
      <c r="Q24" s="34">
        <f t="shared" si="13"/>
        <v>256.68</v>
      </c>
      <c r="R24" s="34">
        <f t="shared" si="13"/>
        <v>1070</v>
      </c>
      <c r="S24" s="34">
        <f t="shared" si="13"/>
        <v>1326.68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8.49</v>
      </c>
      <c r="H27" s="15">
        <f>E27-G27</f>
        <v>5341.51</v>
      </c>
      <c r="I27" s="15">
        <v>0</v>
      </c>
      <c r="J27" s="15">
        <v>587.29</v>
      </c>
      <c r="K27" s="15">
        <f>J27-I27</f>
        <v>587.29</v>
      </c>
      <c r="L27" s="15">
        <v>0</v>
      </c>
      <c r="M27" s="15">
        <v>0</v>
      </c>
      <c r="N27" s="15">
        <f>H27*0.115</f>
        <v>614.27365000000009</v>
      </c>
      <c r="O27" s="15">
        <f>SUM(K27:N27)</f>
        <v>1201.5636500000001</v>
      </c>
      <c r="P27" s="18">
        <f>H27-O27</f>
        <v>4139.9463500000002</v>
      </c>
      <c r="Q27" s="10">
        <v>256.68</v>
      </c>
      <c r="R27" s="10">
        <v>1070</v>
      </c>
      <c r="S27" s="35">
        <f>Q27+R27</f>
        <v>1326.68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H28*0.115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1:19" x14ac:dyDescent="0.25">
      <c r="A29" s="30"/>
      <c r="B29" s="2" t="s">
        <v>26</v>
      </c>
      <c r="C29" s="30"/>
      <c r="D29" s="30"/>
      <c r="E29" s="34">
        <f>SUM(E27:E28)</f>
        <v>10700</v>
      </c>
      <c r="F29" s="34"/>
      <c r="G29" s="34">
        <f>SUM(G27:G28)</f>
        <v>8.49</v>
      </c>
      <c r="H29" s="34">
        <f>SUM(H27:H28)</f>
        <v>10691.51</v>
      </c>
      <c r="I29" s="34">
        <f t="shared" ref="I29:S29" si="14">SUM(I27:I28)</f>
        <v>0</v>
      </c>
      <c r="J29" s="34">
        <f t="shared" si="14"/>
        <v>1175.49</v>
      </c>
      <c r="K29" s="34">
        <f t="shared" si="14"/>
        <v>1175.49</v>
      </c>
      <c r="L29" s="34">
        <f t="shared" si="14"/>
        <v>0</v>
      </c>
      <c r="M29" s="34">
        <f t="shared" si="14"/>
        <v>0</v>
      </c>
      <c r="N29" s="34">
        <f t="shared" si="14"/>
        <v>1229.5236500000001</v>
      </c>
      <c r="O29" s="34">
        <f t="shared" si="14"/>
        <v>2405.0136499999999</v>
      </c>
      <c r="P29" s="34">
        <f t="shared" si="14"/>
        <v>8286.4963500000013</v>
      </c>
      <c r="Q29" s="34">
        <f t="shared" si="14"/>
        <v>513.36</v>
      </c>
      <c r="R29" s="34">
        <f t="shared" si="14"/>
        <v>2140</v>
      </c>
      <c r="S29" s="34">
        <f t="shared" si="14"/>
        <v>2653.36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E32-G32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H32*0.115</f>
        <v>615.25</v>
      </c>
      <c r="O32" s="15">
        <f>SUM(K32:N32)</f>
        <v>1203.45</v>
      </c>
      <c r="P32" s="18">
        <f t="shared" ref="P32:P42" si="15">H32-O32</f>
        <v>4146.55</v>
      </c>
      <c r="Q32" s="10">
        <v>256.68</v>
      </c>
      <c r="R32" s="10">
        <v>1070</v>
      </c>
      <c r="S32" s="35">
        <f t="shared" ref="S32:S42" si="16">Q32+R32</f>
        <v>1326.68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7">E33-G33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ref="N33:N42" si="19">H33*0.115</f>
        <v>615.25</v>
      </c>
      <c r="O33" s="15">
        <f t="shared" ref="O33:O42" si="20">SUM(K33:N33)</f>
        <v>1203.45</v>
      </c>
      <c r="P33" s="18">
        <f t="shared" si="15"/>
        <v>4146.55</v>
      </c>
      <c r="Q33" s="10">
        <v>256.68</v>
      </c>
      <c r="R33" s="10">
        <v>1070</v>
      </c>
      <c r="S33" s="35">
        <f t="shared" si="16"/>
        <v>1326.68</v>
      </c>
    </row>
    <row r="34" spans="1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7"/>
        <v>5350</v>
      </c>
      <c r="I34" s="15">
        <v>0</v>
      </c>
      <c r="J34" s="15">
        <v>588.20000000000005</v>
      </c>
      <c r="K34" s="15">
        <f t="shared" si="18"/>
        <v>588.20000000000005</v>
      </c>
      <c r="L34" s="15">
        <v>0</v>
      </c>
      <c r="M34" s="15">
        <v>0</v>
      </c>
      <c r="N34" s="15">
        <f t="shared" si="19"/>
        <v>615.25</v>
      </c>
      <c r="O34" s="15">
        <f t="shared" si="20"/>
        <v>1203.45</v>
      </c>
      <c r="P34" s="18">
        <f t="shared" si="15"/>
        <v>4146.55</v>
      </c>
      <c r="Q34" s="10">
        <v>256.68</v>
      </c>
      <c r="R34" s="10">
        <v>1070</v>
      </c>
      <c r="S34" s="35">
        <f t="shared" si="16"/>
        <v>1326.68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9"/>
        <v>615.25</v>
      </c>
      <c r="O35" s="15">
        <f t="shared" si="20"/>
        <v>1203.45</v>
      </c>
      <c r="P35" s="18">
        <f t="shared" si="15"/>
        <v>4146.55</v>
      </c>
      <c r="Q35" s="10">
        <v>256.68</v>
      </c>
      <c r="R35" s="10">
        <v>1070</v>
      </c>
      <c r="S35" s="35">
        <f t="shared" si="16"/>
        <v>1326.68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9"/>
        <v>615.25</v>
      </c>
      <c r="O36" s="15">
        <f t="shared" si="20"/>
        <v>1203.45</v>
      </c>
      <c r="P36" s="18">
        <f t="shared" si="15"/>
        <v>4146.55</v>
      </c>
      <c r="Q36" s="10">
        <v>256.68</v>
      </c>
      <c r="R36" s="10">
        <v>1070</v>
      </c>
      <c r="S36" s="35">
        <f t="shared" si="16"/>
        <v>1326.68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9"/>
        <v>615.25</v>
      </c>
      <c r="O37" s="15">
        <f t="shared" si="20"/>
        <v>1203.45</v>
      </c>
      <c r="P37" s="18">
        <f t="shared" si="15"/>
        <v>4146.55</v>
      </c>
      <c r="Q37" s="10">
        <v>256.68</v>
      </c>
      <c r="R37" s="10">
        <v>1070</v>
      </c>
      <c r="S37" s="35">
        <f t="shared" si="16"/>
        <v>1326.68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9"/>
        <v>615.25</v>
      </c>
      <c r="O38" s="15">
        <f t="shared" si="20"/>
        <v>1203.45</v>
      </c>
      <c r="P38" s="18">
        <f t="shared" si="15"/>
        <v>4146.55</v>
      </c>
      <c r="Q38" s="10">
        <v>256.68</v>
      </c>
      <c r="R38" s="10">
        <v>1070</v>
      </c>
      <c r="S38" s="35">
        <f t="shared" si="16"/>
        <v>1326.68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9"/>
        <v>615.25</v>
      </c>
      <c r="O39" s="15">
        <f t="shared" si="20"/>
        <v>1203.45</v>
      </c>
      <c r="P39" s="18">
        <f t="shared" si="15"/>
        <v>4146.55</v>
      </c>
      <c r="Q39" s="10">
        <v>256.68</v>
      </c>
      <c r="R39" s="10">
        <v>1070</v>
      </c>
      <c r="S39" s="35">
        <f t="shared" si="16"/>
        <v>1326.68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9"/>
        <v>615.25</v>
      </c>
      <c r="O40" s="15">
        <f t="shared" si="20"/>
        <v>1203.45</v>
      </c>
      <c r="P40" s="18">
        <f t="shared" si="15"/>
        <v>4146.55</v>
      </c>
      <c r="Q40" s="10">
        <v>256.68</v>
      </c>
      <c r="R40" s="10">
        <v>1070</v>
      </c>
      <c r="S40" s="35">
        <f t="shared" si="16"/>
        <v>1326.68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9"/>
        <v>615.25</v>
      </c>
      <c r="O41" s="15">
        <f t="shared" si="20"/>
        <v>1203.45</v>
      </c>
      <c r="P41" s="18">
        <f t="shared" si="15"/>
        <v>4146.55</v>
      </c>
      <c r="Q41" s="10">
        <v>256.68</v>
      </c>
      <c r="R41" s="10">
        <v>1070</v>
      </c>
      <c r="S41" s="35">
        <f t="shared" si="16"/>
        <v>1326.68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9"/>
        <v>615.25</v>
      </c>
      <c r="O42" s="15">
        <f t="shared" si="20"/>
        <v>1203.45</v>
      </c>
      <c r="P42" s="18">
        <f t="shared" si="15"/>
        <v>4146.55</v>
      </c>
      <c r="Q42" s="10">
        <v>256.68</v>
      </c>
      <c r="R42" s="10">
        <v>1070</v>
      </c>
      <c r="S42" s="35">
        <f t="shared" si="16"/>
        <v>1326.68</v>
      </c>
    </row>
    <row r="43" spans="1:19" x14ac:dyDescent="0.25">
      <c r="A43" s="30"/>
      <c r="B43" s="2" t="s">
        <v>26</v>
      </c>
      <c r="C43" s="30"/>
      <c r="D43" s="30"/>
      <c r="E43" s="34">
        <f>SUM(E32:E42)</f>
        <v>58850</v>
      </c>
      <c r="F43" s="34"/>
      <c r="G43" s="34">
        <f>SUM(G32:G42)</f>
        <v>0</v>
      </c>
      <c r="H43" s="34">
        <f>SUM(H32:H42)</f>
        <v>58850</v>
      </c>
      <c r="I43" s="34">
        <f t="shared" ref="I43:S43" si="21">SUM(I32:I42)</f>
        <v>0</v>
      </c>
      <c r="J43" s="34">
        <f t="shared" si="21"/>
        <v>6470.1999999999989</v>
      </c>
      <c r="K43" s="34">
        <f t="shared" si="21"/>
        <v>6470.1999999999989</v>
      </c>
      <c r="L43" s="34">
        <f t="shared" si="21"/>
        <v>0</v>
      </c>
      <c r="M43" s="34">
        <f t="shared" si="21"/>
        <v>0</v>
      </c>
      <c r="N43" s="34">
        <f t="shared" si="21"/>
        <v>6767.75</v>
      </c>
      <c r="O43" s="34">
        <f t="shared" si="21"/>
        <v>13237.950000000003</v>
      </c>
      <c r="P43" s="34">
        <f t="shared" si="21"/>
        <v>45612.05000000001</v>
      </c>
      <c r="Q43" s="34">
        <f t="shared" si="21"/>
        <v>2823.4799999999996</v>
      </c>
      <c r="R43" s="34">
        <f t="shared" si="21"/>
        <v>11770</v>
      </c>
      <c r="S43" s="34">
        <f t="shared" si="21"/>
        <v>14593.480000000001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0</v>
      </c>
      <c r="H46" s="15">
        <f>E46-G46</f>
        <v>5350</v>
      </c>
      <c r="I46" s="15">
        <v>0</v>
      </c>
      <c r="J46" s="15">
        <v>588.20000000000005</v>
      </c>
      <c r="K46" s="15">
        <f>J46-I46</f>
        <v>588.20000000000005</v>
      </c>
      <c r="L46" s="15">
        <v>0</v>
      </c>
      <c r="M46" s="15">
        <v>0</v>
      </c>
      <c r="N46" s="15">
        <f>H46*0.115</f>
        <v>615.25</v>
      </c>
      <c r="O46" s="15">
        <f>SUM(K46:N46)</f>
        <v>1203.45</v>
      </c>
      <c r="P46" s="18">
        <f>H46-O46</f>
        <v>4146.55</v>
      </c>
      <c r="Q46" s="10">
        <v>256.68</v>
      </c>
      <c r="R46" s="10">
        <v>1070</v>
      </c>
      <c r="S46" s="35">
        <f t="shared" ref="S46:S47" si="22">Q46+R46</f>
        <v>1326.68</v>
      </c>
    </row>
    <row r="47" spans="1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E47-G47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H47*0.115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2"/>
        <v>1326.68</v>
      </c>
    </row>
    <row r="48" spans="1:19" x14ac:dyDescent="0.25">
      <c r="A48" s="30"/>
      <c r="B48" s="2" t="s">
        <v>26</v>
      </c>
      <c r="C48" s="30"/>
      <c r="D48" s="30"/>
      <c r="E48" s="34">
        <f>E46+E47</f>
        <v>10700</v>
      </c>
      <c r="F48" s="34"/>
      <c r="G48" s="34">
        <f>G46+G47</f>
        <v>0</v>
      </c>
      <c r="H48" s="34">
        <f t="shared" ref="H48:S48" si="23">H46+H47</f>
        <v>10700</v>
      </c>
      <c r="I48" s="34">
        <f t="shared" si="23"/>
        <v>0</v>
      </c>
      <c r="J48" s="34">
        <f t="shared" si="23"/>
        <v>1176.4000000000001</v>
      </c>
      <c r="K48" s="34">
        <f t="shared" si="23"/>
        <v>1176.4000000000001</v>
      </c>
      <c r="L48" s="34">
        <f t="shared" si="23"/>
        <v>0</v>
      </c>
      <c r="M48" s="34">
        <f t="shared" si="23"/>
        <v>0</v>
      </c>
      <c r="N48" s="34">
        <f t="shared" si="23"/>
        <v>1230.5</v>
      </c>
      <c r="O48" s="34">
        <f t="shared" si="23"/>
        <v>2406.9</v>
      </c>
      <c r="P48" s="34">
        <f t="shared" si="23"/>
        <v>8293.1</v>
      </c>
      <c r="Q48" s="34">
        <f t="shared" si="23"/>
        <v>513.36</v>
      </c>
      <c r="R48" s="34">
        <f t="shared" si="23"/>
        <v>2140</v>
      </c>
      <c r="S48" s="34">
        <f t="shared" si="23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/>
      <c r="G51" s="17">
        <f>G9+G20+G24+G29+G43+G48</f>
        <v>8.49</v>
      </c>
      <c r="H51" s="17">
        <f t="shared" ref="H51:S51" si="24">H9+H20+H24+H29+H43+H48</f>
        <v>158946.46</v>
      </c>
      <c r="I51" s="17">
        <f t="shared" si="24"/>
        <v>274.08999999999997</v>
      </c>
      <c r="J51" s="17">
        <f t="shared" si="24"/>
        <v>19498.79</v>
      </c>
      <c r="K51" s="17">
        <f t="shared" si="24"/>
        <v>19224.7</v>
      </c>
      <c r="L51" s="17">
        <f t="shared" si="24"/>
        <v>0</v>
      </c>
      <c r="M51" s="17">
        <f t="shared" si="24"/>
        <v>0</v>
      </c>
      <c r="N51" s="17">
        <f t="shared" si="24"/>
        <v>18278.8429</v>
      </c>
      <c r="O51" s="17">
        <f t="shared" si="24"/>
        <v>37503.542900000008</v>
      </c>
      <c r="P51" s="17">
        <f t="shared" si="24"/>
        <v>121442.91710000002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89"/>
      <c r="F55" s="89"/>
      <c r="N55" s="89"/>
      <c r="O55" s="89"/>
    </row>
    <row r="57" spans="2:19" x14ac:dyDescent="0.25">
      <c r="E57" s="91" t="s">
        <v>146</v>
      </c>
      <c r="F57" s="91"/>
      <c r="N57" s="91" t="s">
        <v>157</v>
      </c>
      <c r="O57" s="91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48" orientation="landscape" r:id="rId1"/>
  <ignoredErrors>
    <ignoredError sqref="G9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7"/>
  <sheetViews>
    <sheetView topLeftCell="B37" workbookViewId="0">
      <selection activeCell="G46" sqref="G46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10" max="10" width="14.5703125" customWidth="1"/>
    <col min="11" max="11" width="13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86" t="s">
        <v>158</v>
      </c>
      <c r="D2" s="8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15.75" thickBot="1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2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154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H6*0.115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H7*0.115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2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/>
      <c r="M8" s="15"/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2:19" x14ac:dyDescent="0.25">
      <c r="B9" s="7" t="s">
        <v>26</v>
      </c>
      <c r="C9" s="30"/>
      <c r="D9" s="30"/>
      <c r="E9" s="34">
        <f>SUM(E6:E8)</f>
        <v>31804.95</v>
      </c>
      <c r="F9" s="34"/>
      <c r="G9" s="34">
        <f t="shared" ref="G9" si="4">SUM(G6:G7)</f>
        <v>0</v>
      </c>
      <c r="H9" s="34">
        <f>SUM(H6:H8)</f>
        <v>31804.95</v>
      </c>
      <c r="I9" s="34">
        <f t="shared" ref="I9:S9" si="5">SUM(I6:I8)</f>
        <v>0</v>
      </c>
      <c r="J9" s="34">
        <f t="shared" si="5"/>
        <v>5320.0599999999995</v>
      </c>
      <c r="K9" s="34">
        <f t="shared" si="5"/>
        <v>5320.0599999999995</v>
      </c>
      <c r="L9" s="34">
        <f t="shared" si="5"/>
        <v>0</v>
      </c>
      <c r="M9" s="34">
        <f t="shared" si="5"/>
        <v>0</v>
      </c>
      <c r="N9" s="34">
        <f t="shared" si="5"/>
        <v>3657.5692500000005</v>
      </c>
      <c r="O9" s="34">
        <f t="shared" si="5"/>
        <v>8977.62925</v>
      </c>
      <c r="P9" s="34">
        <f t="shared" si="5"/>
        <v>22827.320749999999</v>
      </c>
      <c r="Q9" s="34">
        <f t="shared" si="5"/>
        <v>867.78</v>
      </c>
      <c r="R9" s="34">
        <f t="shared" si="5"/>
        <v>6360.99</v>
      </c>
      <c r="S9" s="34">
        <f t="shared" si="5"/>
        <v>7228.7699999999995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H12*0.115</f>
        <v>1150</v>
      </c>
      <c r="O12" s="15">
        <f t="shared" ref="O12:O17" si="6">SUM(K12:N12)</f>
        <v>2731.44</v>
      </c>
      <c r="P12" s="18">
        <f t="shared" ref="P12:P19" si="7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0</v>
      </c>
      <c r="H13" s="15">
        <f t="shared" ref="H13:H19" si="8">E13-G13</f>
        <v>5350</v>
      </c>
      <c r="I13" s="15">
        <v>0</v>
      </c>
      <c r="J13" s="15">
        <v>588.20000000000005</v>
      </c>
      <c r="K13" s="15">
        <f t="shared" ref="K13:K19" si="9">J13-I13</f>
        <v>588.20000000000005</v>
      </c>
      <c r="L13" s="15">
        <v>0</v>
      </c>
      <c r="M13" s="15">
        <v>0</v>
      </c>
      <c r="N13" s="15">
        <f t="shared" ref="N13:N19" si="10">H13*0.115</f>
        <v>615.25</v>
      </c>
      <c r="O13" s="15">
        <f t="shared" si="6"/>
        <v>1203.45</v>
      </c>
      <c r="P13" s="18">
        <f t="shared" si="7"/>
        <v>4146.55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0</v>
      </c>
      <c r="H14" s="15">
        <f t="shared" si="8"/>
        <v>5350</v>
      </c>
      <c r="I14" s="3">
        <v>0</v>
      </c>
      <c r="J14" s="3">
        <v>588.20000000000005</v>
      </c>
      <c r="K14" s="15">
        <f t="shared" si="9"/>
        <v>588.20000000000005</v>
      </c>
      <c r="L14" s="3">
        <v>0</v>
      </c>
      <c r="M14" s="3">
        <v>0</v>
      </c>
      <c r="N14" s="15">
        <f t="shared" si="10"/>
        <v>615.25</v>
      </c>
      <c r="O14" s="15">
        <f t="shared" si="6"/>
        <v>1203.45</v>
      </c>
      <c r="P14" s="18">
        <f t="shared" si="7"/>
        <v>4146.55</v>
      </c>
      <c r="Q14" s="27">
        <v>256.68</v>
      </c>
      <c r="R14" s="10">
        <v>1070</v>
      </c>
      <c r="S14" s="35">
        <f>Q14+R14</f>
        <v>1326.68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8"/>
        <v>6000</v>
      </c>
      <c r="I15" s="15">
        <v>0</v>
      </c>
      <c r="J15" s="15">
        <v>727.04</v>
      </c>
      <c r="K15" s="15">
        <f t="shared" si="9"/>
        <v>727.04</v>
      </c>
      <c r="L15" s="15">
        <v>0</v>
      </c>
      <c r="M15" s="15">
        <v>0</v>
      </c>
      <c r="N15" s="15">
        <f t="shared" si="10"/>
        <v>690</v>
      </c>
      <c r="O15" s="15">
        <f t="shared" si="6"/>
        <v>1417.04</v>
      </c>
      <c r="P15" s="18">
        <f t="shared" si="7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8"/>
        <v>4500</v>
      </c>
      <c r="I16" s="15">
        <v>0</v>
      </c>
      <c r="J16" s="15">
        <v>428.97</v>
      </c>
      <c r="K16" s="15">
        <f t="shared" si="9"/>
        <v>428.97</v>
      </c>
      <c r="L16" s="15">
        <v>0</v>
      </c>
      <c r="M16" s="15">
        <v>0</v>
      </c>
      <c r="N16" s="15">
        <f t="shared" si="10"/>
        <v>517.5</v>
      </c>
      <c r="O16" s="15">
        <f t="shared" si="6"/>
        <v>946.47</v>
      </c>
      <c r="P16" s="18">
        <f t="shared" si="7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8"/>
        <v>4500</v>
      </c>
      <c r="I17" s="15">
        <v>0</v>
      </c>
      <c r="J17" s="15">
        <v>428.97</v>
      </c>
      <c r="K17" s="15">
        <f t="shared" si="9"/>
        <v>428.97</v>
      </c>
      <c r="L17" s="15">
        <v>0</v>
      </c>
      <c r="M17" s="15">
        <v>0</v>
      </c>
      <c r="N17" s="15">
        <f t="shared" si="10"/>
        <v>517.5</v>
      </c>
      <c r="O17" s="15">
        <f t="shared" si="6"/>
        <v>946.47</v>
      </c>
      <c r="P17" s="18">
        <f t="shared" si="7"/>
        <v>3553.5299999999997</v>
      </c>
      <c r="Q17" s="10">
        <v>251.41</v>
      </c>
      <c r="R17" s="10">
        <v>900</v>
      </c>
      <c r="S17" s="35">
        <f t="shared" ref="S17:S19" si="11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8"/>
        <v>2700</v>
      </c>
      <c r="I18" s="15">
        <v>147.32</v>
      </c>
      <c r="J18" s="15">
        <v>188.33</v>
      </c>
      <c r="K18" s="15">
        <f t="shared" si="9"/>
        <v>41.010000000000019</v>
      </c>
      <c r="L18" s="15">
        <v>0</v>
      </c>
      <c r="M18" s="15">
        <v>0</v>
      </c>
      <c r="N18" s="15">
        <f t="shared" si="10"/>
        <v>310.5</v>
      </c>
      <c r="O18" s="15">
        <f>SUM(K18:N18)</f>
        <v>351.51</v>
      </c>
      <c r="P18" s="18">
        <f t="shared" si="7"/>
        <v>2348.4899999999998</v>
      </c>
      <c r="Q18" s="10">
        <v>240.25</v>
      </c>
      <c r="R18" s="10">
        <v>540</v>
      </c>
      <c r="S18" s="35">
        <f t="shared" si="11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8"/>
        <v>3150</v>
      </c>
      <c r="I19" s="15">
        <v>126.77</v>
      </c>
      <c r="J19" s="15">
        <v>237.29</v>
      </c>
      <c r="K19" s="15">
        <f t="shared" si="9"/>
        <v>110.52</v>
      </c>
      <c r="L19" s="15">
        <v>0</v>
      </c>
      <c r="M19" s="15">
        <v>0</v>
      </c>
      <c r="N19" s="15">
        <f t="shared" si="10"/>
        <v>362.25</v>
      </c>
      <c r="O19" s="15">
        <f>SUM(K19:N19)</f>
        <v>472.77</v>
      </c>
      <c r="P19" s="18">
        <f t="shared" si="7"/>
        <v>2677.23</v>
      </c>
      <c r="Q19" s="10">
        <v>243.04</v>
      </c>
      <c r="R19" s="10">
        <v>630</v>
      </c>
      <c r="S19" s="35">
        <f t="shared" si="11"/>
        <v>873.04</v>
      </c>
    </row>
    <row r="20" spans="2:19" x14ac:dyDescent="0.25">
      <c r="B20" s="2" t="s">
        <v>26</v>
      </c>
      <c r="C20" s="30"/>
      <c r="D20" s="30"/>
      <c r="E20" s="34">
        <f t="shared" ref="E20:S20" si="12">SUM(E12:E19)</f>
        <v>41550</v>
      </c>
      <c r="F20" s="34"/>
      <c r="G20" s="34">
        <f t="shared" si="12"/>
        <v>0</v>
      </c>
      <c r="H20" s="34">
        <f t="shared" si="12"/>
        <v>41550</v>
      </c>
      <c r="I20" s="34">
        <f t="shared" si="12"/>
        <v>274.08999999999997</v>
      </c>
      <c r="J20" s="34">
        <f t="shared" si="12"/>
        <v>4768.4400000000005</v>
      </c>
      <c r="K20" s="34">
        <f t="shared" si="12"/>
        <v>4494.3500000000013</v>
      </c>
      <c r="L20" s="34">
        <f t="shared" si="12"/>
        <v>0</v>
      </c>
      <c r="M20" s="34">
        <f t="shared" si="12"/>
        <v>0</v>
      </c>
      <c r="N20" s="34">
        <f t="shared" si="12"/>
        <v>4778.25</v>
      </c>
      <c r="O20" s="34">
        <f t="shared" si="12"/>
        <v>9272.6</v>
      </c>
      <c r="P20" s="34">
        <f t="shared" si="12"/>
        <v>32277.399999999998</v>
      </c>
      <c r="Q20" s="34">
        <f t="shared" si="12"/>
        <v>2045.7200000000003</v>
      </c>
      <c r="R20" s="34">
        <f t="shared" si="12"/>
        <v>8310</v>
      </c>
      <c r="S20" s="34">
        <f t="shared" si="12"/>
        <v>10355.720000000001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H23*0.115</f>
        <v>615.25</v>
      </c>
      <c r="O23" s="15">
        <f>SUM(K23:N23)</f>
        <v>1203.45</v>
      </c>
      <c r="P23" s="18">
        <f>H23-O23</f>
        <v>4146.55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s="2" t="s">
        <v>26</v>
      </c>
      <c r="C24" s="30"/>
      <c r="D24" s="30"/>
      <c r="E24" s="34">
        <f>SUM(E23:E23)</f>
        <v>5350</v>
      </c>
      <c r="F24" s="34"/>
      <c r="G24" s="34">
        <f>G23</f>
        <v>0</v>
      </c>
      <c r="H24" s="34">
        <f t="shared" ref="H24:S24" si="13">SUM(H23:H23)</f>
        <v>5350</v>
      </c>
      <c r="I24" s="34">
        <f t="shared" si="13"/>
        <v>0</v>
      </c>
      <c r="J24" s="34">
        <f t="shared" si="13"/>
        <v>588.20000000000005</v>
      </c>
      <c r="K24" s="34">
        <f t="shared" si="13"/>
        <v>588.20000000000005</v>
      </c>
      <c r="L24" s="34">
        <f t="shared" si="13"/>
        <v>0</v>
      </c>
      <c r="M24" s="34">
        <f t="shared" si="13"/>
        <v>0</v>
      </c>
      <c r="N24" s="34">
        <f t="shared" si="13"/>
        <v>615.25</v>
      </c>
      <c r="O24" s="34">
        <f t="shared" si="13"/>
        <v>1203.45</v>
      </c>
      <c r="P24" s="34">
        <f t="shared" si="13"/>
        <v>4146.55</v>
      </c>
      <c r="Q24" s="34">
        <f t="shared" si="13"/>
        <v>256.68</v>
      </c>
      <c r="R24" s="34">
        <f t="shared" si="13"/>
        <v>1070</v>
      </c>
      <c r="S24" s="34">
        <f t="shared" si="13"/>
        <v>1326.68</v>
      </c>
    </row>
    <row r="25" spans="2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</v>
      </c>
      <c r="H27" s="15">
        <f>E27-G27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H27*0.115</f>
        <v>615.25</v>
      </c>
      <c r="O27" s="15">
        <f>SUM(K27:N27)</f>
        <v>1203.45</v>
      </c>
      <c r="P27" s="18">
        <f>H27-O27</f>
        <v>4146.55</v>
      </c>
      <c r="Q27" s="10">
        <v>256.68</v>
      </c>
      <c r="R27" s="10">
        <v>1070</v>
      </c>
      <c r="S27" s="35">
        <f>Q27+R27</f>
        <v>1326.68</v>
      </c>
    </row>
    <row r="28" spans="2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H28*0.115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2:19" x14ac:dyDescent="0.25">
      <c r="B29" s="2" t="s">
        <v>26</v>
      </c>
      <c r="C29" s="30"/>
      <c r="D29" s="30"/>
      <c r="E29" s="34">
        <f>SUM(E27:E28)</f>
        <v>10700</v>
      </c>
      <c r="F29" s="34"/>
      <c r="G29" s="34">
        <f>SUM(G27:G28)</f>
        <v>0</v>
      </c>
      <c r="H29" s="34">
        <f>SUM(H27:H28)</f>
        <v>10700</v>
      </c>
      <c r="I29" s="34">
        <f t="shared" ref="I29:S29" si="14">SUM(I27:I28)</f>
        <v>0</v>
      </c>
      <c r="J29" s="34">
        <f t="shared" si="14"/>
        <v>1176.4000000000001</v>
      </c>
      <c r="K29" s="34">
        <f t="shared" si="14"/>
        <v>1176.4000000000001</v>
      </c>
      <c r="L29" s="34">
        <f t="shared" si="14"/>
        <v>0</v>
      </c>
      <c r="M29" s="34">
        <f t="shared" si="14"/>
        <v>0</v>
      </c>
      <c r="N29" s="34">
        <f t="shared" si="14"/>
        <v>1230.5</v>
      </c>
      <c r="O29" s="34">
        <f t="shared" si="14"/>
        <v>2406.9</v>
      </c>
      <c r="P29" s="34">
        <f t="shared" si="14"/>
        <v>8293.1</v>
      </c>
      <c r="Q29" s="34">
        <f t="shared" si="14"/>
        <v>513.36</v>
      </c>
      <c r="R29" s="34">
        <f t="shared" si="14"/>
        <v>2140</v>
      </c>
      <c r="S29" s="34">
        <f t="shared" si="14"/>
        <v>2653.36</v>
      </c>
    </row>
    <row r="30" spans="2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E32-G32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H32*0.115</f>
        <v>615.25</v>
      </c>
      <c r="O32" s="15">
        <f>SUM(K32:N32)</f>
        <v>1203.45</v>
      </c>
      <c r="P32" s="18">
        <f t="shared" ref="P32:P42" si="15">H32-O32</f>
        <v>4146.55</v>
      </c>
      <c r="Q32" s="10">
        <v>256.68</v>
      </c>
      <c r="R32" s="10">
        <v>1070</v>
      </c>
      <c r="S32" s="35">
        <f t="shared" ref="S32:S42" si="16">Q32+R32</f>
        <v>1326.68</v>
      </c>
    </row>
    <row r="33" spans="2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7">E33-G33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ref="N33:N42" si="19">H33*0.115</f>
        <v>615.25</v>
      </c>
      <c r="O33" s="15">
        <f t="shared" ref="O33:O42" si="20">SUM(K33:N33)</f>
        <v>1203.45</v>
      </c>
      <c r="P33" s="18">
        <f t="shared" si="15"/>
        <v>4146.55</v>
      </c>
      <c r="Q33" s="10">
        <v>256.68</v>
      </c>
      <c r="R33" s="10">
        <v>1070</v>
      </c>
      <c r="S33" s="35">
        <f t="shared" si="16"/>
        <v>1326.68</v>
      </c>
    </row>
    <row r="34" spans="2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7"/>
        <v>5350</v>
      </c>
      <c r="I34" s="15">
        <v>0</v>
      </c>
      <c r="J34" s="15">
        <v>588.20000000000005</v>
      </c>
      <c r="K34" s="15">
        <f t="shared" si="18"/>
        <v>588.20000000000005</v>
      </c>
      <c r="L34" s="15">
        <v>0</v>
      </c>
      <c r="M34" s="15">
        <v>0</v>
      </c>
      <c r="N34" s="15">
        <f t="shared" si="19"/>
        <v>615.25</v>
      </c>
      <c r="O34" s="15">
        <f t="shared" si="20"/>
        <v>1203.45</v>
      </c>
      <c r="P34" s="18">
        <f t="shared" si="15"/>
        <v>4146.55</v>
      </c>
      <c r="Q34" s="10">
        <v>256.68</v>
      </c>
      <c r="R34" s="10">
        <v>1070</v>
      </c>
      <c r="S34" s="35">
        <f t="shared" si="16"/>
        <v>1326.68</v>
      </c>
    </row>
    <row r="35" spans="2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9"/>
        <v>615.25</v>
      </c>
      <c r="O35" s="15">
        <f t="shared" si="20"/>
        <v>1203.45</v>
      </c>
      <c r="P35" s="18">
        <f t="shared" si="15"/>
        <v>4146.55</v>
      </c>
      <c r="Q35" s="10">
        <v>256.68</v>
      </c>
      <c r="R35" s="10">
        <v>1070</v>
      </c>
      <c r="S35" s="35">
        <f t="shared" si="16"/>
        <v>1326.68</v>
      </c>
    </row>
    <row r="36" spans="2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9"/>
        <v>615.25</v>
      </c>
      <c r="O36" s="15">
        <f t="shared" si="20"/>
        <v>1203.45</v>
      </c>
      <c r="P36" s="18">
        <f t="shared" si="15"/>
        <v>4146.55</v>
      </c>
      <c r="Q36" s="10">
        <v>256.68</v>
      </c>
      <c r="R36" s="10">
        <v>1070</v>
      </c>
      <c r="S36" s="35">
        <f t="shared" si="16"/>
        <v>1326.68</v>
      </c>
    </row>
    <row r="37" spans="2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9"/>
        <v>615.25</v>
      </c>
      <c r="O37" s="15">
        <f t="shared" si="20"/>
        <v>1203.45</v>
      </c>
      <c r="P37" s="18">
        <f t="shared" si="15"/>
        <v>4146.55</v>
      </c>
      <c r="Q37" s="10">
        <v>256.68</v>
      </c>
      <c r="R37" s="10">
        <v>1070</v>
      </c>
      <c r="S37" s="35">
        <f t="shared" si="16"/>
        <v>1326.68</v>
      </c>
    </row>
    <row r="38" spans="2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9"/>
        <v>615.25</v>
      </c>
      <c r="O38" s="15">
        <f t="shared" si="20"/>
        <v>1203.45</v>
      </c>
      <c r="P38" s="18">
        <f t="shared" si="15"/>
        <v>4146.55</v>
      </c>
      <c r="Q38" s="10">
        <v>256.68</v>
      </c>
      <c r="R38" s="10">
        <v>1070</v>
      </c>
      <c r="S38" s="35">
        <f t="shared" si="16"/>
        <v>1326.68</v>
      </c>
    </row>
    <row r="39" spans="2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9"/>
        <v>615.25</v>
      </c>
      <c r="O39" s="15">
        <f t="shared" si="20"/>
        <v>1203.45</v>
      </c>
      <c r="P39" s="18">
        <f t="shared" si="15"/>
        <v>4146.55</v>
      </c>
      <c r="Q39" s="10">
        <v>256.68</v>
      </c>
      <c r="R39" s="10">
        <v>1070</v>
      </c>
      <c r="S39" s="35">
        <f t="shared" si="16"/>
        <v>1326.68</v>
      </c>
    </row>
    <row r="40" spans="2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9"/>
        <v>615.25</v>
      </c>
      <c r="O40" s="15">
        <f t="shared" si="20"/>
        <v>1203.45</v>
      </c>
      <c r="P40" s="18">
        <f t="shared" si="15"/>
        <v>4146.55</v>
      </c>
      <c r="Q40" s="10">
        <v>256.68</v>
      </c>
      <c r="R40" s="10">
        <v>1070</v>
      </c>
      <c r="S40" s="35">
        <f t="shared" si="16"/>
        <v>1326.68</v>
      </c>
    </row>
    <row r="41" spans="2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9"/>
        <v>615.25</v>
      </c>
      <c r="O41" s="15">
        <f t="shared" si="20"/>
        <v>1203.45</v>
      </c>
      <c r="P41" s="18">
        <f t="shared" si="15"/>
        <v>4146.55</v>
      </c>
      <c r="Q41" s="10">
        <v>256.68</v>
      </c>
      <c r="R41" s="10">
        <v>1070</v>
      </c>
      <c r="S41" s="35">
        <f t="shared" si="16"/>
        <v>1326.68</v>
      </c>
    </row>
    <row r="42" spans="2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9"/>
        <v>615.25</v>
      </c>
      <c r="O42" s="15">
        <f t="shared" si="20"/>
        <v>1203.45</v>
      </c>
      <c r="P42" s="18">
        <f t="shared" si="15"/>
        <v>4146.55</v>
      </c>
      <c r="Q42" s="10">
        <v>256.68</v>
      </c>
      <c r="R42" s="10">
        <v>1070</v>
      </c>
      <c r="S42" s="35">
        <f t="shared" si="16"/>
        <v>1326.68</v>
      </c>
    </row>
    <row r="43" spans="2:19" x14ac:dyDescent="0.25">
      <c r="B43" s="2" t="s">
        <v>26</v>
      </c>
      <c r="C43" s="30"/>
      <c r="D43" s="30"/>
      <c r="E43" s="34">
        <f>SUM(E32:E42)</f>
        <v>58850</v>
      </c>
      <c r="F43" s="34"/>
      <c r="G43" s="34">
        <f>SUM(G32:G42)</f>
        <v>0</v>
      </c>
      <c r="H43" s="34">
        <f>SUM(H32:H42)</f>
        <v>58850</v>
      </c>
      <c r="I43" s="34">
        <f t="shared" ref="I43:S43" si="21">SUM(I32:I42)</f>
        <v>0</v>
      </c>
      <c r="J43" s="34">
        <f t="shared" si="21"/>
        <v>6470.1999999999989</v>
      </c>
      <c r="K43" s="34">
        <f t="shared" si="21"/>
        <v>6470.1999999999989</v>
      </c>
      <c r="L43" s="34">
        <f t="shared" si="21"/>
        <v>0</v>
      </c>
      <c r="M43" s="34">
        <f t="shared" si="21"/>
        <v>0</v>
      </c>
      <c r="N43" s="34">
        <f t="shared" si="21"/>
        <v>6767.75</v>
      </c>
      <c r="O43" s="34">
        <f t="shared" si="21"/>
        <v>13237.950000000003</v>
      </c>
      <c r="P43" s="34">
        <f t="shared" si="21"/>
        <v>45612.05000000001</v>
      </c>
      <c r="Q43" s="34">
        <f t="shared" si="21"/>
        <v>2823.4799999999996</v>
      </c>
      <c r="R43" s="34">
        <f t="shared" si="21"/>
        <v>11770</v>
      </c>
      <c r="S43" s="34">
        <f t="shared" si="21"/>
        <v>14593.480000000001</v>
      </c>
    </row>
    <row r="44" spans="2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48.4</v>
      </c>
      <c r="H46" s="15">
        <f>E46-G46</f>
        <v>5301.6</v>
      </c>
      <c r="I46" s="15">
        <v>0</v>
      </c>
      <c r="J46" s="15">
        <v>583.03</v>
      </c>
      <c r="K46" s="15">
        <f>J46-I46</f>
        <v>583.03</v>
      </c>
      <c r="L46" s="15">
        <v>0</v>
      </c>
      <c r="M46" s="15">
        <v>0</v>
      </c>
      <c r="N46" s="15">
        <f>H46*0.115</f>
        <v>609.68400000000008</v>
      </c>
      <c r="O46" s="15">
        <f>SUM(K46:N46)</f>
        <v>1192.7139999999999</v>
      </c>
      <c r="P46" s="18">
        <f>H46-O46</f>
        <v>4108.8860000000004</v>
      </c>
      <c r="Q46" s="10">
        <v>256.68</v>
      </c>
      <c r="R46" s="10">
        <v>1070</v>
      </c>
      <c r="S46" s="35">
        <f t="shared" ref="S46:S47" si="22">Q46+R46</f>
        <v>1326.68</v>
      </c>
    </row>
    <row r="47" spans="2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E47-G47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H47*0.115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2"/>
        <v>1326.68</v>
      </c>
    </row>
    <row r="48" spans="2:19" x14ac:dyDescent="0.25">
      <c r="B48" s="2" t="s">
        <v>26</v>
      </c>
      <c r="C48" s="30"/>
      <c r="D48" s="30"/>
      <c r="E48" s="34">
        <f>E46+E47</f>
        <v>10700</v>
      </c>
      <c r="F48" s="34"/>
      <c r="G48" s="34">
        <f>G46+G47</f>
        <v>48.4</v>
      </c>
      <c r="H48" s="34">
        <f t="shared" ref="H48:S48" si="23">H46+H47</f>
        <v>10651.6</v>
      </c>
      <c r="I48" s="34">
        <f t="shared" si="23"/>
        <v>0</v>
      </c>
      <c r="J48" s="34">
        <f t="shared" si="23"/>
        <v>1171.23</v>
      </c>
      <c r="K48" s="34">
        <f t="shared" si="23"/>
        <v>1171.23</v>
      </c>
      <c r="L48" s="34">
        <f t="shared" si="23"/>
        <v>0</v>
      </c>
      <c r="M48" s="34">
        <f t="shared" si="23"/>
        <v>0</v>
      </c>
      <c r="N48" s="34">
        <f t="shared" si="23"/>
        <v>1224.9340000000002</v>
      </c>
      <c r="O48" s="34">
        <f t="shared" si="23"/>
        <v>2396.1639999999998</v>
      </c>
      <c r="P48" s="34">
        <f t="shared" si="23"/>
        <v>8255.4360000000015</v>
      </c>
      <c r="Q48" s="34">
        <f t="shared" si="23"/>
        <v>513.36</v>
      </c>
      <c r="R48" s="34">
        <f t="shared" si="23"/>
        <v>2140</v>
      </c>
      <c r="S48" s="34">
        <f t="shared" si="23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/>
      <c r="G51" s="17">
        <f>G9+G20+G24+G29+G43+G48</f>
        <v>48.4</v>
      </c>
      <c r="H51" s="17">
        <f t="shared" ref="H51:S51" si="24">H9+H20+H24+H29+H43+H48</f>
        <v>158906.55000000002</v>
      </c>
      <c r="I51" s="17">
        <f t="shared" si="24"/>
        <v>274.08999999999997</v>
      </c>
      <c r="J51" s="17">
        <f t="shared" si="24"/>
        <v>19494.53</v>
      </c>
      <c r="K51" s="17">
        <f t="shared" si="24"/>
        <v>19220.439999999999</v>
      </c>
      <c r="L51" s="17">
        <f t="shared" si="24"/>
        <v>0</v>
      </c>
      <c r="M51" s="17">
        <f t="shared" si="24"/>
        <v>0</v>
      </c>
      <c r="N51" s="17">
        <f t="shared" si="24"/>
        <v>18274.253250000002</v>
      </c>
      <c r="O51" s="17">
        <f t="shared" si="24"/>
        <v>37494.693250000004</v>
      </c>
      <c r="P51" s="17">
        <f t="shared" si="24"/>
        <v>121411.85675000002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89"/>
      <c r="F55" s="89"/>
      <c r="N55" s="89"/>
      <c r="O55" s="89"/>
    </row>
    <row r="57" spans="2:19" x14ac:dyDescent="0.25">
      <c r="E57" s="91" t="s">
        <v>146</v>
      </c>
      <c r="F57" s="91"/>
      <c r="N57" s="91" t="s">
        <v>157</v>
      </c>
      <c r="O57" s="91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5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7"/>
  <sheetViews>
    <sheetView topLeftCell="D19" workbookViewId="0">
      <selection activeCell="G23" sqref="G23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9" max="9" width="0" hidden="1" customWidth="1"/>
    <col min="10" max="10" width="14.5703125" hidden="1" customWidth="1"/>
    <col min="11" max="11" width="13.42578125" customWidth="1"/>
    <col min="12" max="13" width="0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86" t="s">
        <v>164</v>
      </c>
      <c r="D2" s="8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26.25" customHeight="1" thickBot="1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2:19" ht="47.25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159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/>
      <c r="H6" s="15">
        <f>E6-G6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E6*0.115+296.71</f>
        <v>2246.52925</v>
      </c>
      <c r="O6" s="15">
        <f>SUM(K6:N6)</f>
        <v>5493.4592499999999</v>
      </c>
      <c r="P6" s="18">
        <f>H6-O6</f>
        <v>11461.490750000001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/>
      <c r="H7" s="15">
        <f t="shared" ref="H7" si="0">E7-G7</f>
        <v>4850</v>
      </c>
      <c r="I7" s="15">
        <v>0</v>
      </c>
      <c r="J7" s="15">
        <v>491.69</v>
      </c>
      <c r="K7" s="15">
        <f t="shared" ref="K7" si="1">J7-I7</f>
        <v>491.69</v>
      </c>
      <c r="L7" s="15">
        <v>0</v>
      </c>
      <c r="M7" s="15">
        <v>0</v>
      </c>
      <c r="N7" s="15">
        <f>E7*0.115+84.88</f>
        <v>642.63</v>
      </c>
      <c r="O7" s="15">
        <f t="shared" ref="O7" si="2">SUM(K7:N7)</f>
        <v>1134.32</v>
      </c>
      <c r="P7" s="18">
        <f>H7-O7</f>
        <v>3715.6800000000003</v>
      </c>
      <c r="Q7" s="10">
        <v>253.58</v>
      </c>
      <c r="R7" s="10">
        <v>970</v>
      </c>
      <c r="S7" s="35">
        <f t="shared" ref="S7" si="3">SUM(Q7:R7)</f>
        <v>1223.58</v>
      </c>
    </row>
    <row r="8" spans="2:19" x14ac:dyDescent="0.25">
      <c r="B8" s="7" t="s">
        <v>26</v>
      </c>
      <c r="C8" s="30"/>
      <c r="D8" s="30"/>
      <c r="E8" s="34">
        <f>SUM(E6:E7)</f>
        <v>21804.95</v>
      </c>
      <c r="F8" s="34"/>
      <c r="G8" s="34">
        <f t="shared" ref="G8:S8" si="4">SUM(G6:G7)</f>
        <v>0</v>
      </c>
      <c r="H8" s="34">
        <f t="shared" si="4"/>
        <v>21804.95</v>
      </c>
      <c r="I8" s="34">
        <f t="shared" si="4"/>
        <v>0</v>
      </c>
      <c r="J8" s="34">
        <f t="shared" si="4"/>
        <v>3738.62</v>
      </c>
      <c r="K8" s="34">
        <f t="shared" si="4"/>
        <v>3738.62</v>
      </c>
      <c r="L8" s="34">
        <f t="shared" si="4"/>
        <v>0</v>
      </c>
      <c r="M8" s="34">
        <f t="shared" si="4"/>
        <v>0</v>
      </c>
      <c r="N8" s="34">
        <f t="shared" si="4"/>
        <v>2889.1592500000002</v>
      </c>
      <c r="O8" s="34">
        <f t="shared" si="4"/>
        <v>6627.7792499999996</v>
      </c>
      <c r="P8" s="34">
        <f t="shared" si="4"/>
        <v>15177.170750000001</v>
      </c>
      <c r="Q8" s="34">
        <f t="shared" si="4"/>
        <v>582.25</v>
      </c>
      <c r="R8" s="34">
        <f t="shared" si="4"/>
        <v>4360.99</v>
      </c>
      <c r="S8" s="34">
        <f t="shared" si="4"/>
        <v>4943.24</v>
      </c>
    </row>
    <row r="9" spans="2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t="s">
        <v>32</v>
      </c>
      <c r="C11" s="11" t="s">
        <v>37</v>
      </c>
      <c r="D11" t="s">
        <v>1</v>
      </c>
      <c r="E11" s="15">
        <v>10000</v>
      </c>
      <c r="F11" s="29">
        <v>15</v>
      </c>
      <c r="G11" s="15"/>
      <c r="H11" s="15">
        <f>E11-G11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>E11*0.115+175</f>
        <v>1325</v>
      </c>
      <c r="O11" s="15">
        <f t="shared" ref="O11:O16" si="5">SUM(K11:N11)</f>
        <v>2906.44</v>
      </c>
      <c r="P11" s="18">
        <f t="shared" ref="P11:P18" si="6">H11-O11</f>
        <v>7093.5599999999995</v>
      </c>
      <c r="Q11" s="10">
        <v>285.52999999999997</v>
      </c>
      <c r="R11" s="10">
        <v>2000</v>
      </c>
      <c r="S11" s="35">
        <f>Q11+R11</f>
        <v>2285.5299999999997</v>
      </c>
    </row>
    <row r="12" spans="2:19" x14ac:dyDescent="0.25">
      <c r="B12" t="s">
        <v>33</v>
      </c>
      <c r="C12" s="11" t="s">
        <v>38</v>
      </c>
      <c r="D12" t="s">
        <v>74</v>
      </c>
      <c r="E12" s="15">
        <v>5350</v>
      </c>
      <c r="F12" s="29">
        <v>15</v>
      </c>
      <c r="G12" s="19"/>
      <c r="H12" s="15">
        <f t="shared" ref="H12:H18" si="7">E12-G12</f>
        <v>5350</v>
      </c>
      <c r="I12" s="15">
        <v>0</v>
      </c>
      <c r="J12" s="15">
        <v>588.20000000000005</v>
      </c>
      <c r="K12" s="15">
        <f t="shared" ref="K12:K18" si="8">J12-I12</f>
        <v>588.20000000000005</v>
      </c>
      <c r="L12" s="15">
        <v>0</v>
      </c>
      <c r="M12" s="15">
        <v>0</v>
      </c>
      <c r="N12" s="15">
        <f>E12*0.115+93.74</f>
        <v>708.99</v>
      </c>
      <c r="O12" s="15">
        <f t="shared" si="5"/>
        <v>1297.19</v>
      </c>
      <c r="P12" s="18">
        <f t="shared" si="6"/>
        <v>4052.81</v>
      </c>
      <c r="Q12" s="10">
        <v>256.68</v>
      </c>
      <c r="R12" s="10">
        <v>1070</v>
      </c>
      <c r="S12" s="35">
        <f>Q12+R12</f>
        <v>1326.68</v>
      </c>
    </row>
    <row r="13" spans="2:19" x14ac:dyDescent="0.25">
      <c r="B13" t="s">
        <v>34</v>
      </c>
      <c r="C13" t="s">
        <v>141</v>
      </c>
      <c r="D13" t="s">
        <v>75</v>
      </c>
      <c r="E13" s="21">
        <v>5350</v>
      </c>
      <c r="F13" s="29">
        <v>15</v>
      </c>
      <c r="G13" s="3"/>
      <c r="H13" s="15">
        <f t="shared" si="7"/>
        <v>5350</v>
      </c>
      <c r="I13" s="3">
        <v>0</v>
      </c>
      <c r="J13" s="3">
        <v>588.20000000000005</v>
      </c>
      <c r="K13" s="15">
        <f t="shared" si="8"/>
        <v>588.20000000000005</v>
      </c>
      <c r="L13" s="3">
        <v>0</v>
      </c>
      <c r="M13" s="3">
        <v>0</v>
      </c>
      <c r="N13" s="15">
        <f>E13*0.115+19.42</f>
        <v>634.66999999999996</v>
      </c>
      <c r="O13" s="15">
        <f t="shared" si="5"/>
        <v>1222.8699999999999</v>
      </c>
      <c r="P13" s="18">
        <f t="shared" si="6"/>
        <v>4127.13</v>
      </c>
      <c r="Q13" s="27">
        <v>256.68</v>
      </c>
      <c r="R13" s="10">
        <v>1070</v>
      </c>
      <c r="S13" s="35">
        <f>Q13+R13</f>
        <v>1326.68</v>
      </c>
    </row>
    <row r="14" spans="2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/>
      <c r="H14" s="15">
        <f t="shared" si="7"/>
        <v>6000</v>
      </c>
      <c r="I14" s="15">
        <v>0</v>
      </c>
      <c r="J14" s="15">
        <v>727.04</v>
      </c>
      <c r="K14" s="15">
        <f t="shared" si="8"/>
        <v>727.04</v>
      </c>
      <c r="L14" s="15">
        <v>0</v>
      </c>
      <c r="M14" s="15">
        <v>0</v>
      </c>
      <c r="N14" s="15">
        <f t="shared" ref="N14" si="9">E14*0.115</f>
        <v>690</v>
      </c>
      <c r="O14" s="15">
        <f t="shared" si="5"/>
        <v>1417.04</v>
      </c>
      <c r="P14" s="18">
        <f t="shared" si="6"/>
        <v>4582.96</v>
      </c>
      <c r="Q14" s="10">
        <v>260.72000000000003</v>
      </c>
      <c r="R14" s="10">
        <v>1200</v>
      </c>
      <c r="S14" s="35">
        <f>Q14+R14</f>
        <v>1460.72</v>
      </c>
    </row>
    <row r="15" spans="2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/>
      <c r="H15" s="15">
        <f t="shared" si="7"/>
        <v>4500</v>
      </c>
      <c r="I15" s="15">
        <v>0</v>
      </c>
      <c r="J15" s="15">
        <v>428.97</v>
      </c>
      <c r="K15" s="15">
        <f t="shared" si="8"/>
        <v>428.97</v>
      </c>
      <c r="L15" s="15">
        <v>0</v>
      </c>
      <c r="M15" s="15">
        <v>0</v>
      </c>
      <c r="N15" s="15">
        <f>E15*0.115+87.5</f>
        <v>605</v>
      </c>
      <c r="O15" s="15">
        <f t="shared" si="5"/>
        <v>1033.97</v>
      </c>
      <c r="P15" s="18">
        <f t="shared" si="6"/>
        <v>3466.0299999999997</v>
      </c>
      <c r="Q15" s="10">
        <v>251.41</v>
      </c>
      <c r="R15" s="10">
        <v>900</v>
      </c>
      <c r="S15" s="35">
        <f>Q15+R15</f>
        <v>1151.4100000000001</v>
      </c>
    </row>
    <row r="16" spans="2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/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>E16*0.115+78.75</f>
        <v>596.25</v>
      </c>
      <c r="O16" s="15">
        <f t="shared" si="5"/>
        <v>1025.22</v>
      </c>
      <c r="P16" s="18">
        <f t="shared" si="6"/>
        <v>3474.7799999999997</v>
      </c>
      <c r="Q16" s="10">
        <v>251.41</v>
      </c>
      <c r="R16" s="10">
        <v>900</v>
      </c>
      <c r="S16" s="35">
        <f t="shared" ref="S16:S18" si="10">Q16+R16</f>
        <v>1151.4100000000001</v>
      </c>
    </row>
    <row r="17" spans="2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/>
      <c r="H17" s="15">
        <f t="shared" si="7"/>
        <v>2700</v>
      </c>
      <c r="I17" s="15">
        <v>147.32</v>
      </c>
      <c r="J17" s="15">
        <v>188.33</v>
      </c>
      <c r="K17" s="15">
        <f t="shared" si="8"/>
        <v>41.010000000000019</v>
      </c>
      <c r="L17" s="15">
        <v>0</v>
      </c>
      <c r="M17" s="15">
        <v>0</v>
      </c>
      <c r="N17" s="15">
        <f>E17*0.115+47.25</f>
        <v>357.75</v>
      </c>
      <c r="O17" s="15">
        <f>SUM(K17:N17)</f>
        <v>398.76</v>
      </c>
      <c r="P17" s="18">
        <f t="shared" si="6"/>
        <v>2301.2399999999998</v>
      </c>
      <c r="Q17" s="10">
        <v>240.25</v>
      </c>
      <c r="R17" s="10">
        <v>540</v>
      </c>
      <c r="S17" s="35">
        <f t="shared" si="10"/>
        <v>780.25</v>
      </c>
    </row>
    <row r="18" spans="2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/>
      <c r="H18" s="15">
        <f t="shared" si="7"/>
        <v>3150</v>
      </c>
      <c r="I18" s="15">
        <v>126.77</v>
      </c>
      <c r="J18" s="15">
        <v>237.29</v>
      </c>
      <c r="K18" s="15">
        <f t="shared" si="8"/>
        <v>110.52</v>
      </c>
      <c r="L18" s="15">
        <v>0</v>
      </c>
      <c r="M18" s="15">
        <v>0</v>
      </c>
      <c r="N18" s="15">
        <f>E18*0.115+55.13</f>
        <v>417.38</v>
      </c>
      <c r="O18" s="15">
        <f>SUM(K18:N18)</f>
        <v>527.9</v>
      </c>
      <c r="P18" s="18">
        <f t="shared" si="6"/>
        <v>2622.1</v>
      </c>
      <c r="Q18" s="10">
        <v>243.04</v>
      </c>
      <c r="R18" s="10">
        <v>630</v>
      </c>
      <c r="S18" s="35">
        <f t="shared" si="10"/>
        <v>873.04</v>
      </c>
    </row>
    <row r="19" spans="2:19" x14ac:dyDescent="0.25">
      <c r="B19" s="2" t="s">
        <v>26</v>
      </c>
      <c r="C19" s="30"/>
      <c r="D19" s="30"/>
      <c r="E19" s="34">
        <f t="shared" ref="E19:S19" si="11">SUM(E11:E18)</f>
        <v>41550</v>
      </c>
      <c r="F19" s="34"/>
      <c r="G19" s="34">
        <f t="shared" si="11"/>
        <v>0</v>
      </c>
      <c r="H19" s="34">
        <f t="shared" si="11"/>
        <v>41550</v>
      </c>
      <c r="I19" s="34">
        <f t="shared" si="11"/>
        <v>274.08999999999997</v>
      </c>
      <c r="J19" s="34">
        <f t="shared" si="11"/>
        <v>4768.4400000000005</v>
      </c>
      <c r="K19" s="34">
        <f t="shared" si="11"/>
        <v>4494.3500000000013</v>
      </c>
      <c r="L19" s="34">
        <f t="shared" si="11"/>
        <v>0</v>
      </c>
      <c r="M19" s="34">
        <f t="shared" si="11"/>
        <v>0</v>
      </c>
      <c r="N19" s="34">
        <f t="shared" si="11"/>
        <v>5335.04</v>
      </c>
      <c r="O19" s="34">
        <f t="shared" si="11"/>
        <v>9829.39</v>
      </c>
      <c r="P19" s="34">
        <f t="shared" si="11"/>
        <v>31720.609999999993</v>
      </c>
      <c r="Q19" s="34">
        <f t="shared" si="11"/>
        <v>2045.7200000000003</v>
      </c>
      <c r="R19" s="34">
        <f t="shared" si="11"/>
        <v>8310</v>
      </c>
      <c r="S19" s="34">
        <f t="shared" si="11"/>
        <v>10355.720000000001</v>
      </c>
    </row>
    <row r="20" spans="2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9" x14ac:dyDescent="0.25">
      <c r="B21" s="2" t="s">
        <v>50</v>
      </c>
      <c r="C21" s="2" t="s">
        <v>160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t="s">
        <v>119</v>
      </c>
      <c r="C22" t="s">
        <v>91</v>
      </c>
      <c r="D22" t="s">
        <v>76</v>
      </c>
      <c r="E22" s="15">
        <v>5350</v>
      </c>
      <c r="F22" s="29">
        <v>15</v>
      </c>
      <c r="G22" s="15"/>
      <c r="H22" s="15">
        <f>E22-G22</f>
        <v>5350</v>
      </c>
      <c r="I22" s="15">
        <v>0</v>
      </c>
      <c r="J22" s="15">
        <v>588.20000000000005</v>
      </c>
      <c r="K22" s="15">
        <f>J22-I22</f>
        <v>588.20000000000005</v>
      </c>
      <c r="L22" s="15">
        <v>0</v>
      </c>
      <c r="M22" s="15">
        <v>0</v>
      </c>
      <c r="N22" s="15">
        <f>E22*0.115+93.66</f>
        <v>708.91</v>
      </c>
      <c r="O22" s="15">
        <f>SUM(K22:N22)</f>
        <v>1297.1100000000001</v>
      </c>
      <c r="P22" s="18">
        <f>H22-O22</f>
        <v>4052.89</v>
      </c>
      <c r="Q22" s="10">
        <v>256.68</v>
      </c>
      <c r="R22" s="10">
        <v>1070</v>
      </c>
      <c r="S22" s="35">
        <f>Q22+R22</f>
        <v>1326.68</v>
      </c>
    </row>
    <row r="23" spans="2:19" x14ac:dyDescent="0.25">
      <c r="B23" t="s">
        <v>120</v>
      </c>
      <c r="C23" t="s">
        <v>93</v>
      </c>
      <c r="D23" t="s">
        <v>78</v>
      </c>
      <c r="E23" s="15">
        <v>5350</v>
      </c>
      <c r="F23" s="29">
        <v>14</v>
      </c>
      <c r="G23" s="15">
        <v>356.66</v>
      </c>
      <c r="H23" s="15">
        <f>E23-G23</f>
        <v>4993.34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E23*0.115+93.81</f>
        <v>709.06</v>
      </c>
      <c r="O23" s="15">
        <f>SUM(K23:N23)</f>
        <v>1297.26</v>
      </c>
      <c r="P23" s="18">
        <f>H23-O23</f>
        <v>3696.08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121</v>
      </c>
      <c r="C24" t="s">
        <v>114</v>
      </c>
      <c r="D24" t="s">
        <v>79</v>
      </c>
      <c r="E24" s="15">
        <v>5350</v>
      </c>
      <c r="F24" s="29">
        <v>15</v>
      </c>
      <c r="G24" s="15"/>
      <c r="H24" s="15">
        <f>E24-G24</f>
        <v>5350</v>
      </c>
      <c r="I24" s="15">
        <v>0</v>
      </c>
      <c r="J24" s="15">
        <v>588.20000000000005</v>
      </c>
      <c r="K24" s="15">
        <f>J24-I24</f>
        <v>588.20000000000005</v>
      </c>
      <c r="L24" s="15">
        <v>0</v>
      </c>
      <c r="M24" s="15">
        <v>0</v>
      </c>
      <c r="N24" s="15">
        <f t="shared" ref="N24" si="12">E24*0.115</f>
        <v>615.25</v>
      </c>
      <c r="O24" s="15">
        <f>SUM(K24:N24)</f>
        <v>1203.45</v>
      </c>
      <c r="P24" s="18">
        <f>H24-O24</f>
        <v>4146.55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s="2" t="s">
        <v>26</v>
      </c>
      <c r="C25" s="30"/>
      <c r="D25" s="30"/>
      <c r="E25" s="34">
        <f>SUM(E22:E24)</f>
        <v>16050</v>
      </c>
      <c r="F25" s="34"/>
      <c r="G25" s="34">
        <f>SUM(G22:G24)</f>
        <v>356.66</v>
      </c>
      <c r="H25" s="34">
        <f t="shared" ref="H25:S25" si="13">SUM(H22:H24)</f>
        <v>15693.34</v>
      </c>
      <c r="I25" s="34">
        <f t="shared" si="13"/>
        <v>0</v>
      </c>
      <c r="J25" s="34">
        <f t="shared" si="13"/>
        <v>1764.6000000000001</v>
      </c>
      <c r="K25" s="34">
        <f t="shared" si="13"/>
        <v>1764.6000000000001</v>
      </c>
      <c r="L25" s="34">
        <f t="shared" si="13"/>
        <v>0</v>
      </c>
      <c r="M25" s="34">
        <f t="shared" si="13"/>
        <v>0</v>
      </c>
      <c r="N25" s="34">
        <f t="shared" si="13"/>
        <v>2033.2199999999998</v>
      </c>
      <c r="O25" s="34">
        <f t="shared" si="13"/>
        <v>3797.8199999999997</v>
      </c>
      <c r="P25" s="34">
        <f t="shared" si="13"/>
        <v>11895.52</v>
      </c>
      <c r="Q25" s="34">
        <f t="shared" si="13"/>
        <v>770.04</v>
      </c>
      <c r="R25" s="34">
        <f t="shared" si="13"/>
        <v>3210</v>
      </c>
      <c r="S25" s="34">
        <f t="shared" si="13"/>
        <v>3980.04</v>
      </c>
    </row>
    <row r="26" spans="2:19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s="2" t="s">
        <v>63</v>
      </c>
      <c r="C27" s="2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t="s">
        <v>122</v>
      </c>
      <c r="C28" t="s">
        <v>97</v>
      </c>
      <c r="D28" t="s">
        <v>80</v>
      </c>
      <c r="E28" s="15">
        <v>5350</v>
      </c>
      <c r="F28" s="29">
        <v>15</v>
      </c>
      <c r="G28" s="15"/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E28*0.115+93.65</f>
        <v>708.9</v>
      </c>
      <c r="O28" s="15">
        <f>SUM(K28:N28)</f>
        <v>1297.0999999999999</v>
      </c>
      <c r="P28" s="18">
        <f t="shared" ref="P28:P38" si="14">H28-O28</f>
        <v>4052.9</v>
      </c>
      <c r="Q28" s="10">
        <v>256.68</v>
      </c>
      <c r="R28" s="10">
        <v>1070</v>
      </c>
      <c r="S28" s="35">
        <f t="shared" ref="S28:S38" si="15">Q28+R28</f>
        <v>1326.68</v>
      </c>
    </row>
    <row r="29" spans="2:19" x14ac:dyDescent="0.25">
      <c r="B29" t="s">
        <v>123</v>
      </c>
      <c r="C29" t="s">
        <v>100</v>
      </c>
      <c r="D29" t="s">
        <v>80</v>
      </c>
      <c r="E29" s="15">
        <v>5350</v>
      </c>
      <c r="F29" s="29">
        <v>15</v>
      </c>
      <c r="G29" s="15"/>
      <c r="H29" s="15">
        <f t="shared" ref="H29:H38" si="16">E29-G29</f>
        <v>5350</v>
      </c>
      <c r="I29" s="15">
        <v>0</v>
      </c>
      <c r="J29" s="15">
        <v>588.20000000000005</v>
      </c>
      <c r="K29" s="15">
        <f t="shared" ref="K29:K38" si="17">J29-I29</f>
        <v>588.20000000000005</v>
      </c>
      <c r="L29" s="15">
        <v>0</v>
      </c>
      <c r="M29" s="15">
        <v>0</v>
      </c>
      <c r="N29" s="15">
        <f>E29*0.115+93.71</f>
        <v>708.96</v>
      </c>
      <c r="O29" s="15">
        <f t="shared" ref="O29:O38" si="18">SUM(K29:N29)</f>
        <v>1297.1600000000001</v>
      </c>
      <c r="P29" s="18">
        <f t="shared" si="14"/>
        <v>4052.84</v>
      </c>
      <c r="Q29" s="10">
        <v>256.68</v>
      </c>
      <c r="R29" s="10">
        <v>1070</v>
      </c>
      <c r="S29" s="35">
        <f t="shared" si="15"/>
        <v>1326.68</v>
      </c>
    </row>
    <row r="30" spans="2:19" x14ac:dyDescent="0.25">
      <c r="B30" t="s">
        <v>124</v>
      </c>
      <c r="C30" t="s">
        <v>96</v>
      </c>
      <c r="D30" t="s">
        <v>78</v>
      </c>
      <c r="E30" s="15">
        <v>5350</v>
      </c>
      <c r="F30" s="29">
        <v>15</v>
      </c>
      <c r="G30" s="15"/>
      <c r="H30" s="15">
        <f t="shared" si="16"/>
        <v>5350</v>
      </c>
      <c r="I30" s="15">
        <v>0</v>
      </c>
      <c r="J30" s="15">
        <v>588.20000000000005</v>
      </c>
      <c r="K30" s="15">
        <f t="shared" si="17"/>
        <v>588.20000000000005</v>
      </c>
      <c r="L30" s="15">
        <v>0</v>
      </c>
      <c r="M30" s="15">
        <v>0</v>
      </c>
      <c r="N30" s="15">
        <f>E30*0.115+99.88</f>
        <v>715.13</v>
      </c>
      <c r="O30" s="15">
        <f t="shared" si="18"/>
        <v>1303.33</v>
      </c>
      <c r="P30" s="18">
        <f t="shared" si="14"/>
        <v>4046.67</v>
      </c>
      <c r="Q30" s="10">
        <v>256.68</v>
      </c>
      <c r="R30" s="10">
        <v>1070</v>
      </c>
      <c r="S30" s="35">
        <f t="shared" si="15"/>
        <v>1326.68</v>
      </c>
    </row>
    <row r="31" spans="2:19" x14ac:dyDescent="0.25">
      <c r="B31" t="s">
        <v>125</v>
      </c>
      <c r="C31" t="s">
        <v>104</v>
      </c>
      <c r="D31" t="s">
        <v>78</v>
      </c>
      <c r="E31" s="15">
        <v>5350</v>
      </c>
      <c r="F31" s="29">
        <v>15</v>
      </c>
      <c r="G31" s="15"/>
      <c r="H31" s="15">
        <f t="shared" si="16"/>
        <v>5350</v>
      </c>
      <c r="I31" s="15">
        <v>0</v>
      </c>
      <c r="J31" s="15">
        <v>588.20000000000005</v>
      </c>
      <c r="K31" s="15">
        <f t="shared" si="17"/>
        <v>588.20000000000005</v>
      </c>
      <c r="L31" s="15">
        <v>0</v>
      </c>
      <c r="M31" s="15">
        <v>0</v>
      </c>
      <c r="N31" s="15">
        <f t="shared" ref="N31:N38" si="19">E31*0.115+93.63</f>
        <v>708.88</v>
      </c>
      <c r="O31" s="15">
        <f t="shared" si="18"/>
        <v>1297.08</v>
      </c>
      <c r="P31" s="18">
        <f t="shared" si="14"/>
        <v>4052.92</v>
      </c>
      <c r="Q31" s="10">
        <v>256.68</v>
      </c>
      <c r="R31" s="10">
        <v>1070</v>
      </c>
      <c r="S31" s="35">
        <f t="shared" si="15"/>
        <v>1326.68</v>
      </c>
    </row>
    <row r="32" spans="2:19" x14ac:dyDescent="0.25">
      <c r="B32" t="s">
        <v>126</v>
      </c>
      <c r="C32" t="s">
        <v>94</v>
      </c>
      <c r="D32" t="s">
        <v>81</v>
      </c>
      <c r="E32" s="15">
        <v>5350</v>
      </c>
      <c r="F32" s="29">
        <v>15</v>
      </c>
      <c r="G32" s="15">
        <v>22.07</v>
      </c>
      <c r="H32" s="15">
        <f t="shared" si="16"/>
        <v>5327.93</v>
      </c>
      <c r="I32" s="15">
        <v>0</v>
      </c>
      <c r="J32" s="15">
        <v>588.20000000000005</v>
      </c>
      <c r="K32" s="15">
        <f t="shared" si="17"/>
        <v>588.20000000000005</v>
      </c>
      <c r="L32" s="15">
        <v>0</v>
      </c>
      <c r="M32" s="15">
        <v>0</v>
      </c>
      <c r="N32" s="15">
        <f t="shared" si="19"/>
        <v>708.88</v>
      </c>
      <c r="O32" s="15">
        <f t="shared" si="18"/>
        <v>1297.08</v>
      </c>
      <c r="P32" s="18">
        <f t="shared" si="14"/>
        <v>4030.8500000000004</v>
      </c>
      <c r="Q32" s="10">
        <v>256.68</v>
      </c>
      <c r="R32" s="10">
        <v>1070</v>
      </c>
      <c r="S32" s="35">
        <f t="shared" si="15"/>
        <v>1326.68</v>
      </c>
    </row>
    <row r="33" spans="2:19" x14ac:dyDescent="0.25">
      <c r="B33" t="s">
        <v>127</v>
      </c>
      <c r="C33" t="s">
        <v>98</v>
      </c>
      <c r="D33" t="s">
        <v>81</v>
      </c>
      <c r="E33" s="15">
        <v>5350</v>
      </c>
      <c r="F33" s="29">
        <v>15</v>
      </c>
      <c r="G33" s="15"/>
      <c r="H33" s="15">
        <f t="shared" si="16"/>
        <v>5350</v>
      </c>
      <c r="I33" s="15">
        <v>0</v>
      </c>
      <c r="J33" s="15">
        <v>588.20000000000005</v>
      </c>
      <c r="K33" s="15">
        <f t="shared" si="17"/>
        <v>588.20000000000005</v>
      </c>
      <c r="L33" s="15">
        <v>0</v>
      </c>
      <c r="M33" s="15">
        <v>0</v>
      </c>
      <c r="N33" s="15">
        <f t="shared" si="19"/>
        <v>708.88</v>
      </c>
      <c r="O33" s="15">
        <f t="shared" si="18"/>
        <v>1297.08</v>
      </c>
      <c r="P33" s="18">
        <f t="shared" si="14"/>
        <v>4052.92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128</v>
      </c>
      <c r="C34" t="s">
        <v>101</v>
      </c>
      <c r="D34" t="s">
        <v>81</v>
      </c>
      <c r="E34" s="15">
        <v>5350</v>
      </c>
      <c r="F34" s="29">
        <v>15</v>
      </c>
      <c r="G34" s="15"/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9"/>
        <v>708.88</v>
      </c>
      <c r="O34" s="15">
        <f t="shared" si="18"/>
        <v>1297.08</v>
      </c>
      <c r="P34" s="18">
        <f t="shared" si="14"/>
        <v>4052.92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129</v>
      </c>
      <c r="C35" t="s">
        <v>95</v>
      </c>
      <c r="D35" t="s">
        <v>82</v>
      </c>
      <c r="E35" s="15">
        <v>5350</v>
      </c>
      <c r="F35" s="29">
        <v>15</v>
      </c>
      <c r="G35" s="15"/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9"/>
        <v>708.88</v>
      </c>
      <c r="O35" s="15">
        <f t="shared" si="18"/>
        <v>1297.08</v>
      </c>
      <c r="P35" s="18">
        <f t="shared" si="14"/>
        <v>4052.92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130</v>
      </c>
      <c r="C36" t="s">
        <v>102</v>
      </c>
      <c r="D36" t="s">
        <v>82</v>
      </c>
      <c r="E36" s="15">
        <v>5350</v>
      </c>
      <c r="F36" s="29">
        <v>15</v>
      </c>
      <c r="G36" s="15"/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>E36*0.115+93.63</f>
        <v>708.88</v>
      </c>
      <c r="O36" s="15">
        <f t="shared" si="18"/>
        <v>1297.08</v>
      </c>
      <c r="P36" s="18">
        <f t="shared" si="14"/>
        <v>4052.92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131</v>
      </c>
      <c r="C37" t="s">
        <v>85</v>
      </c>
      <c r="D37" t="s">
        <v>83</v>
      </c>
      <c r="E37" s="15">
        <v>5350</v>
      </c>
      <c r="F37" s="29">
        <v>15</v>
      </c>
      <c r="G37" s="15"/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9"/>
        <v>708.88</v>
      </c>
      <c r="O37" s="15">
        <f t="shared" si="18"/>
        <v>1297.08</v>
      </c>
      <c r="P37" s="18">
        <f t="shared" si="14"/>
        <v>4052.92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132</v>
      </c>
      <c r="C38" t="s">
        <v>103</v>
      </c>
      <c r="D38" t="s">
        <v>83</v>
      </c>
      <c r="E38" s="15">
        <v>5350</v>
      </c>
      <c r="F38" s="29">
        <v>15</v>
      </c>
      <c r="G38" s="15"/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9"/>
        <v>708.88</v>
      </c>
      <c r="O38" s="15">
        <f t="shared" si="18"/>
        <v>1297.08</v>
      </c>
      <c r="P38" s="18">
        <f t="shared" si="14"/>
        <v>4052.92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s="2" t="s">
        <v>26</v>
      </c>
      <c r="C39" s="30"/>
      <c r="D39" s="30"/>
      <c r="E39" s="34">
        <f>SUM(E28:E38)</f>
        <v>58850</v>
      </c>
      <c r="F39" s="34"/>
      <c r="G39" s="34">
        <f>SUM(G28:G38)</f>
        <v>22.07</v>
      </c>
      <c r="H39" s="34">
        <f>SUM(H28:H38)</f>
        <v>58827.93</v>
      </c>
      <c r="I39" s="34">
        <f t="shared" ref="I39:S39" si="20">SUM(I28:I38)</f>
        <v>0</v>
      </c>
      <c r="J39" s="34">
        <f t="shared" si="20"/>
        <v>6470.1999999999989</v>
      </c>
      <c r="K39" s="34">
        <f t="shared" si="20"/>
        <v>6470.1999999999989</v>
      </c>
      <c r="L39" s="34">
        <f t="shared" si="20"/>
        <v>0</v>
      </c>
      <c r="M39" s="34">
        <f t="shared" si="20"/>
        <v>0</v>
      </c>
      <c r="N39" s="34">
        <f t="shared" si="20"/>
        <v>7804.0300000000007</v>
      </c>
      <c r="O39" s="34">
        <f t="shared" si="20"/>
        <v>14274.23</v>
      </c>
      <c r="P39" s="34">
        <f t="shared" si="20"/>
        <v>44553.69999999999</v>
      </c>
      <c r="Q39" s="34">
        <f t="shared" si="20"/>
        <v>2823.4799999999996</v>
      </c>
      <c r="R39" s="34">
        <f t="shared" si="20"/>
        <v>11770</v>
      </c>
      <c r="S39" s="34">
        <f t="shared" si="20"/>
        <v>14593.480000000001</v>
      </c>
    </row>
    <row r="40" spans="2:19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9" x14ac:dyDescent="0.25">
      <c r="B41" s="2" t="s">
        <v>140</v>
      </c>
      <c r="C41" s="2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t="s">
        <v>133</v>
      </c>
      <c r="C42" t="s">
        <v>99</v>
      </c>
      <c r="D42" t="s">
        <v>80</v>
      </c>
      <c r="E42" s="15">
        <v>5350</v>
      </c>
      <c r="F42" s="29">
        <v>15</v>
      </c>
      <c r="G42" s="15">
        <v>7.64</v>
      </c>
      <c r="H42" s="15">
        <f>E42-G42</f>
        <v>5342.36</v>
      </c>
      <c r="I42" s="15">
        <v>0</v>
      </c>
      <c r="J42" s="15">
        <v>588.20000000000005</v>
      </c>
      <c r="K42" s="15">
        <f>J42-I42</f>
        <v>588.20000000000005</v>
      </c>
      <c r="L42" s="15">
        <v>0</v>
      </c>
      <c r="M42" s="15">
        <v>0</v>
      </c>
      <c r="N42" s="15">
        <f>E42*0.115+101.23</f>
        <v>716.48</v>
      </c>
      <c r="O42" s="15">
        <f>SUM(K42:N42)</f>
        <v>1304.68</v>
      </c>
      <c r="P42" s="18">
        <f>H42-O42</f>
        <v>4037.6799999999994</v>
      </c>
      <c r="Q42" s="10">
        <v>256.68</v>
      </c>
      <c r="R42" s="10">
        <v>1070</v>
      </c>
      <c r="S42" s="35">
        <f t="shared" ref="S42:S43" si="21">Q42+R42</f>
        <v>1326.68</v>
      </c>
    </row>
    <row r="43" spans="2:19" x14ac:dyDescent="0.25">
      <c r="B43" t="s">
        <v>152</v>
      </c>
      <c r="C43" t="s">
        <v>92</v>
      </c>
      <c r="D43" t="s">
        <v>80</v>
      </c>
      <c r="E43" s="15">
        <v>5350</v>
      </c>
      <c r="F43" s="29">
        <v>15</v>
      </c>
      <c r="G43" s="15"/>
      <c r="H43" s="15">
        <f>E43-G43</f>
        <v>5350</v>
      </c>
      <c r="I43" s="15">
        <v>0</v>
      </c>
      <c r="J43" s="15">
        <v>588.20000000000005</v>
      </c>
      <c r="K43" s="15">
        <v>588.20000000000005</v>
      </c>
      <c r="L43" s="15">
        <v>0</v>
      </c>
      <c r="M43" s="15">
        <v>0</v>
      </c>
      <c r="N43" s="15">
        <f>H43*0.115</f>
        <v>615.25</v>
      </c>
      <c r="O43" s="15">
        <f>SUM(K43:N43)</f>
        <v>1203.45</v>
      </c>
      <c r="P43" s="18">
        <f>H43-O43</f>
        <v>4146.55</v>
      </c>
      <c r="Q43" s="10">
        <v>256.68</v>
      </c>
      <c r="R43" s="10">
        <v>1070</v>
      </c>
      <c r="S43" s="35">
        <f t="shared" si="21"/>
        <v>1326.68</v>
      </c>
    </row>
    <row r="44" spans="2:19" x14ac:dyDescent="0.25">
      <c r="B44" s="2" t="s">
        <v>26</v>
      </c>
      <c r="C44" s="30"/>
      <c r="D44" s="30"/>
      <c r="E44" s="34">
        <f>E42+E43</f>
        <v>10700</v>
      </c>
      <c r="F44" s="34"/>
      <c r="G44" s="34">
        <f>G42+G43</f>
        <v>7.64</v>
      </c>
      <c r="H44" s="34">
        <f t="shared" ref="H44:S44" si="22">H42+H43</f>
        <v>10692.36</v>
      </c>
      <c r="I44" s="34">
        <f t="shared" si="22"/>
        <v>0</v>
      </c>
      <c r="J44" s="34">
        <f t="shared" si="22"/>
        <v>1176.4000000000001</v>
      </c>
      <c r="K44" s="34">
        <f t="shared" si="22"/>
        <v>1176.4000000000001</v>
      </c>
      <c r="L44" s="34">
        <f t="shared" si="22"/>
        <v>0</v>
      </c>
      <c r="M44" s="34">
        <f t="shared" si="22"/>
        <v>0</v>
      </c>
      <c r="N44" s="34">
        <f t="shared" si="22"/>
        <v>1331.73</v>
      </c>
      <c r="O44" s="34">
        <f t="shared" si="22"/>
        <v>2508.13</v>
      </c>
      <c r="P44" s="34">
        <f t="shared" si="22"/>
        <v>8184.23</v>
      </c>
      <c r="Q44" s="34">
        <f t="shared" si="22"/>
        <v>513.36</v>
      </c>
      <c r="R44" s="34">
        <f t="shared" si="22"/>
        <v>2140</v>
      </c>
      <c r="S44" s="34">
        <f t="shared" si="22"/>
        <v>2653.36</v>
      </c>
    </row>
    <row r="45" spans="2:19" x14ac:dyDescent="0.25">
      <c r="B45" s="2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8"/>
      <c r="R45" s="8"/>
      <c r="S45" s="8"/>
    </row>
    <row r="46" spans="2:19" x14ac:dyDescent="0.25">
      <c r="B46" s="2" t="s">
        <v>161</v>
      </c>
      <c r="C46" s="2" t="s">
        <v>162</v>
      </c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t="s">
        <v>163</v>
      </c>
      <c r="C47" s="11" t="s">
        <v>42</v>
      </c>
      <c r="D47" t="s">
        <v>2</v>
      </c>
      <c r="E47" s="15">
        <v>10000</v>
      </c>
      <c r="F47" s="29">
        <v>15</v>
      </c>
      <c r="G47" s="15"/>
      <c r="H47" s="15">
        <f>E47-G47</f>
        <v>10000</v>
      </c>
      <c r="I47" s="15">
        <v>0</v>
      </c>
      <c r="J47" s="15">
        <v>1581.44</v>
      </c>
      <c r="K47" s="15">
        <f>J47-I47</f>
        <v>1581.44</v>
      </c>
      <c r="L47" s="15">
        <v>0</v>
      </c>
      <c r="M47" s="15">
        <v>0</v>
      </c>
      <c r="N47" s="15">
        <f>E47*0.115+175</f>
        <v>1325</v>
      </c>
      <c r="O47" s="15">
        <f>SUM(K47:N47)</f>
        <v>2906.44</v>
      </c>
      <c r="P47" s="18">
        <f>H47-O47</f>
        <v>7093.5599999999995</v>
      </c>
      <c r="Q47" s="10">
        <v>285.52999999999997</v>
      </c>
      <c r="R47" s="10">
        <v>2000</v>
      </c>
      <c r="S47" s="35">
        <f>Q47+R47</f>
        <v>2285.5299999999997</v>
      </c>
    </row>
    <row r="48" spans="2:19" x14ac:dyDescent="0.25">
      <c r="B48" s="2" t="s">
        <v>26</v>
      </c>
      <c r="E48" s="34">
        <f>E47</f>
        <v>10000</v>
      </c>
      <c r="F48" s="34"/>
      <c r="G48" s="34">
        <f>G47</f>
        <v>0</v>
      </c>
      <c r="H48" s="34">
        <f t="shared" ref="H48:S48" si="23">H47</f>
        <v>10000</v>
      </c>
      <c r="I48" s="34">
        <f t="shared" si="23"/>
        <v>0</v>
      </c>
      <c r="J48" s="34">
        <f t="shared" si="23"/>
        <v>1581.44</v>
      </c>
      <c r="K48" s="34">
        <f t="shared" si="23"/>
        <v>1581.44</v>
      </c>
      <c r="L48" s="34">
        <f t="shared" si="23"/>
        <v>0</v>
      </c>
      <c r="M48" s="34">
        <f t="shared" si="23"/>
        <v>0</v>
      </c>
      <c r="N48" s="34">
        <f t="shared" si="23"/>
        <v>1325</v>
      </c>
      <c r="O48" s="34">
        <f t="shared" si="23"/>
        <v>2906.44</v>
      </c>
      <c r="P48" s="34">
        <f t="shared" si="23"/>
        <v>7093.5599999999995</v>
      </c>
      <c r="Q48" s="34">
        <f t="shared" si="23"/>
        <v>285.52999999999997</v>
      </c>
      <c r="R48" s="34">
        <f t="shared" si="23"/>
        <v>2000</v>
      </c>
      <c r="S48" s="34">
        <f t="shared" si="23"/>
        <v>2285.5299999999997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E8+E19+E25+E39+E44+E48</f>
        <v>158954.95000000001</v>
      </c>
      <c r="F51" s="17"/>
      <c r="G51" s="17">
        <f>G8+G19+G25+G39+G44+G48</f>
        <v>386.37</v>
      </c>
      <c r="H51" s="17">
        <f t="shared" ref="H51:S51" si="24">H8+H19+H25+H39+H44+H48</f>
        <v>158568.58000000002</v>
      </c>
      <c r="I51" s="17">
        <f t="shared" si="24"/>
        <v>274.08999999999997</v>
      </c>
      <c r="J51" s="17">
        <f t="shared" si="24"/>
        <v>19499.7</v>
      </c>
      <c r="K51" s="17">
        <f t="shared" si="24"/>
        <v>19225.61</v>
      </c>
      <c r="L51" s="17">
        <f t="shared" si="24"/>
        <v>0</v>
      </c>
      <c r="M51" s="17">
        <f t="shared" si="24"/>
        <v>0</v>
      </c>
      <c r="N51" s="17">
        <f t="shared" si="24"/>
        <v>20718.179249999997</v>
      </c>
      <c r="O51" s="17">
        <f t="shared" si="24"/>
        <v>39943.789249999994</v>
      </c>
      <c r="P51" s="17">
        <f t="shared" si="24"/>
        <v>118624.79074999997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89"/>
      <c r="F55" s="89"/>
      <c r="N55" s="89"/>
      <c r="O55" s="89"/>
    </row>
    <row r="57" spans="2:19" x14ac:dyDescent="0.25">
      <c r="E57" s="91" t="s">
        <v>146</v>
      </c>
      <c r="F57" s="91"/>
      <c r="N57" s="91" t="s">
        <v>157</v>
      </c>
      <c r="O57" s="91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5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7"/>
  <sheetViews>
    <sheetView workbookViewId="0">
      <selection activeCell="N6" sqref="N6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9" max="9" width="0" hidden="1" customWidth="1"/>
    <col min="10" max="10" width="14.5703125" hidden="1" customWidth="1"/>
    <col min="11" max="11" width="13.42578125" customWidth="1"/>
    <col min="12" max="12" width="11.42578125" customWidth="1"/>
    <col min="13" max="13" width="11.42578125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86" t="s">
        <v>165</v>
      </c>
      <c r="D2" s="8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15.75" thickBot="1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2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167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/>
      <c r="H6" s="15">
        <f>E6-G6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E6*0.115+296.71</f>
        <v>2246.52925</v>
      </c>
      <c r="O6" s="15">
        <f>SUM(K6:N6)</f>
        <v>5493.4592499999999</v>
      </c>
      <c r="P6" s="18">
        <f>H6-O6</f>
        <v>11461.490750000001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/>
      <c r="H7" s="15">
        <f t="shared" ref="H7" si="0">E7-G7</f>
        <v>4850</v>
      </c>
      <c r="I7" s="15">
        <v>0</v>
      </c>
      <c r="J7" s="15">
        <v>491.69</v>
      </c>
      <c r="K7" s="15">
        <f t="shared" ref="K7" si="1">J7-I7</f>
        <v>491.69</v>
      </c>
      <c r="L7" s="15">
        <v>0</v>
      </c>
      <c r="M7" s="15">
        <v>0</v>
      </c>
      <c r="N7" s="15">
        <f>E7*0.115+84.88</f>
        <v>642.63</v>
      </c>
      <c r="O7" s="15">
        <f t="shared" ref="O7" si="2">SUM(K7:N7)</f>
        <v>1134.32</v>
      </c>
      <c r="P7" s="18">
        <f>H7-O7</f>
        <v>3715.6800000000003</v>
      </c>
      <c r="Q7" s="10">
        <v>253.58</v>
      </c>
      <c r="R7" s="10">
        <v>970</v>
      </c>
      <c r="S7" s="35">
        <f t="shared" ref="S7" si="3">SUM(Q7:R7)</f>
        <v>1223.58</v>
      </c>
    </row>
    <row r="8" spans="2:19" x14ac:dyDescent="0.25">
      <c r="B8" s="7" t="s">
        <v>26</v>
      </c>
      <c r="C8" s="30"/>
      <c r="D8" s="30"/>
      <c r="E8" s="34">
        <f>SUM(E6:E7)</f>
        <v>21804.95</v>
      </c>
      <c r="F8" s="34"/>
      <c r="G8" s="34">
        <f t="shared" ref="G8:S8" si="4">SUM(G6:G7)</f>
        <v>0</v>
      </c>
      <c r="H8" s="34">
        <f t="shared" si="4"/>
        <v>21804.95</v>
      </c>
      <c r="I8" s="34">
        <f t="shared" si="4"/>
        <v>0</v>
      </c>
      <c r="J8" s="34">
        <f t="shared" si="4"/>
        <v>3738.62</v>
      </c>
      <c r="K8" s="34">
        <f t="shared" si="4"/>
        <v>3738.62</v>
      </c>
      <c r="L8" s="34">
        <f t="shared" si="4"/>
        <v>0</v>
      </c>
      <c r="M8" s="34">
        <f t="shared" si="4"/>
        <v>0</v>
      </c>
      <c r="N8" s="34">
        <f t="shared" si="4"/>
        <v>2889.1592500000002</v>
      </c>
      <c r="O8" s="34">
        <f t="shared" si="4"/>
        <v>6627.7792499999996</v>
      </c>
      <c r="P8" s="34">
        <f t="shared" si="4"/>
        <v>15177.170750000001</v>
      </c>
      <c r="Q8" s="34">
        <f t="shared" si="4"/>
        <v>582.25</v>
      </c>
      <c r="R8" s="34">
        <f t="shared" si="4"/>
        <v>4360.99</v>
      </c>
      <c r="S8" s="34">
        <f t="shared" si="4"/>
        <v>4943.24</v>
      </c>
    </row>
    <row r="9" spans="2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t="s">
        <v>32</v>
      </c>
      <c r="C11" s="11" t="s">
        <v>37</v>
      </c>
      <c r="D11" t="s">
        <v>1</v>
      </c>
      <c r="E11" s="15">
        <v>10000</v>
      </c>
      <c r="F11" s="29">
        <v>15</v>
      </c>
      <c r="G11" s="15"/>
      <c r="H11" s="15">
        <f>E11-G11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>E11*0.115+175</f>
        <v>1325</v>
      </c>
      <c r="O11" s="15">
        <f t="shared" ref="O11:O16" si="5">SUM(K11:N11)</f>
        <v>2906.44</v>
      </c>
      <c r="P11" s="18">
        <f t="shared" ref="P11:P18" si="6">H11-O11</f>
        <v>7093.5599999999995</v>
      </c>
      <c r="Q11" s="10">
        <v>285.52999999999997</v>
      </c>
      <c r="R11" s="10">
        <v>2000</v>
      </c>
      <c r="S11" s="35">
        <f>Q11+R11</f>
        <v>2285.5299999999997</v>
      </c>
    </row>
    <row r="12" spans="2:19" x14ac:dyDescent="0.25">
      <c r="B12" t="s">
        <v>33</v>
      </c>
      <c r="C12" s="11" t="s">
        <v>38</v>
      </c>
      <c r="D12" t="s">
        <v>74</v>
      </c>
      <c r="E12" s="15">
        <v>5350</v>
      </c>
      <c r="F12" s="29">
        <v>15</v>
      </c>
      <c r="G12" s="19"/>
      <c r="H12" s="15">
        <f t="shared" ref="H12:H18" si="7">E12-G12</f>
        <v>5350</v>
      </c>
      <c r="I12" s="15">
        <v>0</v>
      </c>
      <c r="J12" s="15">
        <v>588.20000000000005</v>
      </c>
      <c r="K12" s="15">
        <f t="shared" ref="K12:K18" si="8">J12-I12</f>
        <v>588.20000000000005</v>
      </c>
      <c r="L12" s="15">
        <v>0</v>
      </c>
      <c r="M12" s="15">
        <v>0</v>
      </c>
      <c r="N12" s="15">
        <f>E12*0.115+93.74</f>
        <v>708.99</v>
      </c>
      <c r="O12" s="15">
        <f t="shared" si="5"/>
        <v>1297.19</v>
      </c>
      <c r="P12" s="18">
        <f t="shared" si="6"/>
        <v>4052.81</v>
      </c>
      <c r="Q12" s="10">
        <v>256.68</v>
      </c>
      <c r="R12" s="10">
        <v>1070</v>
      </c>
      <c r="S12" s="35">
        <f>Q12+R12</f>
        <v>1326.68</v>
      </c>
    </row>
    <row r="13" spans="2:19" x14ac:dyDescent="0.25">
      <c r="B13" t="s">
        <v>34</v>
      </c>
      <c r="C13" t="s">
        <v>141</v>
      </c>
      <c r="D13" t="s">
        <v>75</v>
      </c>
      <c r="E13" s="21">
        <v>5350</v>
      </c>
      <c r="F13" s="29">
        <v>15</v>
      </c>
      <c r="G13" s="3"/>
      <c r="H13" s="15">
        <f t="shared" si="7"/>
        <v>5350</v>
      </c>
      <c r="I13" s="3">
        <v>0</v>
      </c>
      <c r="J13" s="3">
        <v>588.20000000000005</v>
      </c>
      <c r="K13" s="15">
        <f t="shared" si="8"/>
        <v>588.20000000000005</v>
      </c>
      <c r="L13" s="3">
        <v>0</v>
      </c>
      <c r="M13" s="3">
        <v>0</v>
      </c>
      <c r="N13" s="15">
        <f>E13*0.115+19.42</f>
        <v>634.66999999999996</v>
      </c>
      <c r="O13" s="15">
        <f t="shared" si="5"/>
        <v>1222.8699999999999</v>
      </c>
      <c r="P13" s="18">
        <f t="shared" si="6"/>
        <v>4127.13</v>
      </c>
      <c r="Q13" s="27">
        <v>256.68</v>
      </c>
      <c r="R13" s="10">
        <v>1070</v>
      </c>
      <c r="S13" s="35">
        <f>Q13+R13</f>
        <v>1326.68</v>
      </c>
    </row>
    <row r="14" spans="2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/>
      <c r="H14" s="15">
        <f t="shared" si="7"/>
        <v>6000</v>
      </c>
      <c r="I14" s="15">
        <v>0</v>
      </c>
      <c r="J14" s="15">
        <v>727.04</v>
      </c>
      <c r="K14" s="15">
        <f t="shared" si="8"/>
        <v>727.04</v>
      </c>
      <c r="L14" s="15">
        <v>0</v>
      </c>
      <c r="M14" s="15">
        <v>0</v>
      </c>
      <c r="N14" s="15">
        <f t="shared" ref="N14:N18" si="9">E14*0.115</f>
        <v>690</v>
      </c>
      <c r="O14" s="15">
        <f t="shared" si="5"/>
        <v>1417.04</v>
      </c>
      <c r="P14" s="18">
        <f t="shared" si="6"/>
        <v>4582.96</v>
      </c>
      <c r="Q14" s="10">
        <v>260.72000000000003</v>
      </c>
      <c r="R14" s="10">
        <v>1200</v>
      </c>
      <c r="S14" s="35">
        <f>Q14+R14</f>
        <v>1460.72</v>
      </c>
    </row>
    <row r="15" spans="2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/>
      <c r="H15" s="15">
        <f t="shared" si="7"/>
        <v>4500</v>
      </c>
      <c r="I15" s="15">
        <v>0</v>
      </c>
      <c r="J15" s="15">
        <v>428.97</v>
      </c>
      <c r="K15" s="15">
        <f t="shared" si="8"/>
        <v>428.97</v>
      </c>
      <c r="L15" s="15">
        <v>0</v>
      </c>
      <c r="M15" s="15">
        <v>0</v>
      </c>
      <c r="N15" s="15">
        <f>E15*0.115+87.5</f>
        <v>605</v>
      </c>
      <c r="O15" s="15">
        <f t="shared" si="5"/>
        <v>1033.97</v>
      </c>
      <c r="P15" s="18">
        <f t="shared" si="6"/>
        <v>3466.0299999999997</v>
      </c>
      <c r="Q15" s="10">
        <v>251.41</v>
      </c>
      <c r="R15" s="10">
        <v>900</v>
      </c>
      <c r="S15" s="35">
        <f>Q15+R15</f>
        <v>1151.4100000000001</v>
      </c>
    </row>
    <row r="16" spans="2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/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>E16*0.115+78.75</f>
        <v>596.25</v>
      </c>
      <c r="O16" s="15">
        <f t="shared" si="5"/>
        <v>1025.22</v>
      </c>
      <c r="P16" s="18">
        <f t="shared" si="6"/>
        <v>3474.7799999999997</v>
      </c>
      <c r="Q16" s="10">
        <v>251.41</v>
      </c>
      <c r="R16" s="10">
        <v>900</v>
      </c>
      <c r="S16" s="35">
        <f t="shared" ref="S16:S18" si="10">Q16+R16</f>
        <v>1151.4100000000001</v>
      </c>
    </row>
    <row r="17" spans="2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/>
      <c r="H17" s="15">
        <f t="shared" si="7"/>
        <v>2700</v>
      </c>
      <c r="I17" s="15">
        <v>147.32</v>
      </c>
      <c r="J17" s="15">
        <v>188.33</v>
      </c>
      <c r="K17" s="15">
        <f t="shared" si="8"/>
        <v>41.010000000000019</v>
      </c>
      <c r="L17" s="15">
        <v>0</v>
      </c>
      <c r="M17" s="15">
        <v>0</v>
      </c>
      <c r="N17" s="15">
        <f>E17*0.115+47.25</f>
        <v>357.75</v>
      </c>
      <c r="O17" s="15">
        <f>SUM(K17:N17)</f>
        <v>398.76</v>
      </c>
      <c r="P17" s="18">
        <f t="shared" si="6"/>
        <v>2301.2399999999998</v>
      </c>
      <c r="Q17" s="10">
        <v>240.25</v>
      </c>
      <c r="R17" s="10">
        <v>540</v>
      </c>
      <c r="S17" s="35">
        <f t="shared" si="10"/>
        <v>780.25</v>
      </c>
    </row>
    <row r="18" spans="2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/>
      <c r="H18" s="15">
        <f t="shared" si="7"/>
        <v>3150</v>
      </c>
      <c r="I18" s="15">
        <v>126.77</v>
      </c>
      <c r="J18" s="15">
        <v>237.29</v>
      </c>
      <c r="K18" s="15">
        <f t="shared" si="8"/>
        <v>110.52</v>
      </c>
      <c r="L18" s="15">
        <v>0</v>
      </c>
      <c r="M18" s="15">
        <v>0</v>
      </c>
      <c r="N18" s="15">
        <f t="shared" si="9"/>
        <v>362.25</v>
      </c>
      <c r="O18" s="15">
        <f>SUM(K18:N18)</f>
        <v>472.77</v>
      </c>
      <c r="P18" s="18">
        <f t="shared" si="6"/>
        <v>2677.23</v>
      </c>
      <c r="Q18" s="10">
        <v>243.04</v>
      </c>
      <c r="R18" s="10">
        <v>630</v>
      </c>
      <c r="S18" s="35">
        <f t="shared" si="10"/>
        <v>873.04</v>
      </c>
    </row>
    <row r="19" spans="2:19" x14ac:dyDescent="0.25">
      <c r="B19" s="2" t="s">
        <v>26</v>
      </c>
      <c r="C19" s="30"/>
      <c r="D19" s="30"/>
      <c r="E19" s="34">
        <f t="shared" ref="E19:S19" si="11">SUM(E11:E18)</f>
        <v>41550</v>
      </c>
      <c r="F19" s="34"/>
      <c r="G19" s="34">
        <f t="shared" si="11"/>
        <v>0</v>
      </c>
      <c r="H19" s="34">
        <f t="shared" si="11"/>
        <v>41550</v>
      </c>
      <c r="I19" s="34">
        <f t="shared" si="11"/>
        <v>274.08999999999997</v>
      </c>
      <c r="J19" s="34">
        <f t="shared" si="11"/>
        <v>4768.4400000000005</v>
      </c>
      <c r="K19" s="34">
        <f t="shared" si="11"/>
        <v>4494.3500000000013</v>
      </c>
      <c r="L19" s="34">
        <f t="shared" si="11"/>
        <v>0</v>
      </c>
      <c r="M19" s="34">
        <f t="shared" si="11"/>
        <v>0</v>
      </c>
      <c r="N19" s="34">
        <f t="shared" si="11"/>
        <v>5279.91</v>
      </c>
      <c r="O19" s="34">
        <f t="shared" si="11"/>
        <v>9774.26</v>
      </c>
      <c r="P19" s="34">
        <f t="shared" si="11"/>
        <v>31775.739999999994</v>
      </c>
      <c r="Q19" s="34">
        <f t="shared" si="11"/>
        <v>2045.7200000000003</v>
      </c>
      <c r="R19" s="34">
        <f t="shared" si="11"/>
        <v>8310</v>
      </c>
      <c r="S19" s="34">
        <f t="shared" si="11"/>
        <v>10355.720000000001</v>
      </c>
    </row>
    <row r="20" spans="2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9" x14ac:dyDescent="0.25">
      <c r="B21" s="2" t="s">
        <v>50</v>
      </c>
      <c r="C21" s="2" t="s">
        <v>160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t="s">
        <v>119</v>
      </c>
      <c r="C22" t="s">
        <v>91</v>
      </c>
      <c r="D22" t="s">
        <v>76</v>
      </c>
      <c r="E22" s="15">
        <v>5350</v>
      </c>
      <c r="F22" s="29">
        <v>15</v>
      </c>
      <c r="G22" s="15"/>
      <c r="H22" s="15">
        <f>E22-G22</f>
        <v>5350</v>
      </c>
      <c r="I22" s="15">
        <v>0</v>
      </c>
      <c r="J22" s="15">
        <v>588.20000000000005</v>
      </c>
      <c r="K22" s="15">
        <f>J22-I22</f>
        <v>588.20000000000005</v>
      </c>
      <c r="L22" s="15">
        <v>0</v>
      </c>
      <c r="M22" s="15">
        <v>0</v>
      </c>
      <c r="N22" s="15">
        <f>E22*0.115+93.66</f>
        <v>708.91</v>
      </c>
      <c r="O22" s="15">
        <f>SUM(K22:N22)</f>
        <v>1297.1100000000001</v>
      </c>
      <c r="P22" s="18">
        <f>H22-O22</f>
        <v>4052.89</v>
      </c>
      <c r="Q22" s="10">
        <v>256.68</v>
      </c>
      <c r="R22" s="10">
        <v>1070</v>
      </c>
      <c r="S22" s="35">
        <f>Q22+R22</f>
        <v>1326.68</v>
      </c>
    </row>
    <row r="23" spans="2:19" x14ac:dyDescent="0.25">
      <c r="B23" t="s">
        <v>120</v>
      </c>
      <c r="C23" t="s">
        <v>93</v>
      </c>
      <c r="D23" t="s">
        <v>78</v>
      </c>
      <c r="E23" s="15">
        <v>5350</v>
      </c>
      <c r="F23" s="29">
        <v>15</v>
      </c>
      <c r="G23" s="15"/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E23*0.115+93.81</f>
        <v>709.06</v>
      </c>
      <c r="O23" s="15">
        <f>SUM(K23:N23)</f>
        <v>1297.26</v>
      </c>
      <c r="P23" s="18">
        <f>H23-O23</f>
        <v>4052.74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121</v>
      </c>
      <c r="C24" t="s">
        <v>114</v>
      </c>
      <c r="D24" t="s">
        <v>79</v>
      </c>
      <c r="E24" s="15">
        <v>5350</v>
      </c>
      <c r="F24" s="29">
        <v>15</v>
      </c>
      <c r="G24" s="15"/>
      <c r="H24" s="15">
        <f>E24-G24</f>
        <v>5350</v>
      </c>
      <c r="I24" s="15">
        <v>0</v>
      </c>
      <c r="J24" s="15">
        <v>588.20000000000005</v>
      </c>
      <c r="K24" s="15">
        <f>J24-I24</f>
        <v>588.20000000000005</v>
      </c>
      <c r="L24" s="15">
        <v>0</v>
      </c>
      <c r="M24" s="15">
        <v>0</v>
      </c>
      <c r="N24" s="15">
        <f t="shared" ref="N24" si="12">E24*0.115</f>
        <v>615.25</v>
      </c>
      <c r="O24" s="15">
        <f>SUM(K24:N24)</f>
        <v>1203.45</v>
      </c>
      <c r="P24" s="18">
        <f>H24-O24</f>
        <v>4146.55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s="2" t="s">
        <v>26</v>
      </c>
      <c r="C25" s="30"/>
      <c r="D25" s="30"/>
      <c r="E25" s="34">
        <f>SUM(E22:E24)</f>
        <v>16050</v>
      </c>
      <c r="F25" s="34"/>
      <c r="G25" s="34">
        <f>SUM(G22:G24)</f>
        <v>0</v>
      </c>
      <c r="H25" s="34">
        <f t="shared" ref="H25:S25" si="13">SUM(H22:H24)</f>
        <v>16050</v>
      </c>
      <c r="I25" s="34">
        <f t="shared" si="13"/>
        <v>0</v>
      </c>
      <c r="J25" s="34">
        <f t="shared" si="13"/>
        <v>1764.6000000000001</v>
      </c>
      <c r="K25" s="34">
        <f t="shared" si="13"/>
        <v>1764.6000000000001</v>
      </c>
      <c r="L25" s="34">
        <f t="shared" si="13"/>
        <v>0</v>
      </c>
      <c r="M25" s="34">
        <f t="shared" si="13"/>
        <v>0</v>
      </c>
      <c r="N25" s="34">
        <f t="shared" si="13"/>
        <v>2033.2199999999998</v>
      </c>
      <c r="O25" s="34">
        <f t="shared" si="13"/>
        <v>3797.8199999999997</v>
      </c>
      <c r="P25" s="34">
        <f t="shared" si="13"/>
        <v>12252.18</v>
      </c>
      <c r="Q25" s="34">
        <f t="shared" si="13"/>
        <v>770.04</v>
      </c>
      <c r="R25" s="34">
        <f t="shared" si="13"/>
        <v>3210</v>
      </c>
      <c r="S25" s="34">
        <f t="shared" si="13"/>
        <v>3980.04</v>
      </c>
    </row>
    <row r="26" spans="2:19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s="2" t="s">
        <v>63</v>
      </c>
      <c r="C27" s="2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t="s">
        <v>122</v>
      </c>
      <c r="C28" t="s">
        <v>97</v>
      </c>
      <c r="D28" t="s">
        <v>80</v>
      </c>
      <c r="E28" s="15">
        <v>5350</v>
      </c>
      <c r="F28" s="29">
        <v>15</v>
      </c>
      <c r="G28" s="15"/>
      <c r="H28" s="15">
        <f>E28-G28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E28*0.115+93.65</f>
        <v>708.9</v>
      </c>
      <c r="O28" s="15">
        <f>SUM(K28:N28)</f>
        <v>1297.0999999999999</v>
      </c>
      <c r="P28" s="18">
        <f t="shared" ref="P28:P38" si="14">H28-O28</f>
        <v>4052.9</v>
      </c>
      <c r="Q28" s="10">
        <v>256.68</v>
      </c>
      <c r="R28" s="10">
        <v>1070</v>
      </c>
      <c r="S28" s="35">
        <f t="shared" ref="S28:S38" si="15">Q28+R28</f>
        <v>1326.68</v>
      </c>
    </row>
    <row r="29" spans="2:19" x14ac:dyDescent="0.25">
      <c r="B29" t="s">
        <v>123</v>
      </c>
      <c r="C29" t="s">
        <v>100</v>
      </c>
      <c r="D29" t="s">
        <v>80</v>
      </c>
      <c r="E29" s="15">
        <v>5350</v>
      </c>
      <c r="F29" s="29">
        <v>15</v>
      </c>
      <c r="G29" s="15"/>
      <c r="H29" s="15">
        <f t="shared" ref="H29:H38" si="16">E29-G29</f>
        <v>5350</v>
      </c>
      <c r="I29" s="15">
        <v>0</v>
      </c>
      <c r="J29" s="15">
        <v>588.20000000000005</v>
      </c>
      <c r="K29" s="15">
        <f t="shared" ref="K29:K38" si="17">J29-I29</f>
        <v>588.20000000000005</v>
      </c>
      <c r="L29" s="15">
        <v>0</v>
      </c>
      <c r="M29" s="15">
        <v>0</v>
      </c>
      <c r="N29" s="15">
        <f>E29*0.115+93.71</f>
        <v>708.96</v>
      </c>
      <c r="O29" s="15">
        <f t="shared" ref="O29:O38" si="18">SUM(K29:N29)</f>
        <v>1297.1600000000001</v>
      </c>
      <c r="P29" s="18">
        <f t="shared" si="14"/>
        <v>4052.84</v>
      </c>
      <c r="Q29" s="10">
        <v>256.68</v>
      </c>
      <c r="R29" s="10">
        <v>1070</v>
      </c>
      <c r="S29" s="35">
        <f t="shared" si="15"/>
        <v>1326.68</v>
      </c>
    </row>
    <row r="30" spans="2:19" x14ac:dyDescent="0.25">
      <c r="B30" t="s">
        <v>124</v>
      </c>
      <c r="C30" t="s">
        <v>96</v>
      </c>
      <c r="D30" t="s">
        <v>78</v>
      </c>
      <c r="E30" s="15">
        <v>5350</v>
      </c>
      <c r="F30" s="29">
        <v>15</v>
      </c>
      <c r="G30" s="15"/>
      <c r="H30" s="15">
        <f t="shared" si="16"/>
        <v>5350</v>
      </c>
      <c r="I30" s="15">
        <v>0</v>
      </c>
      <c r="J30" s="15">
        <v>588.20000000000005</v>
      </c>
      <c r="K30" s="15">
        <f t="shared" si="17"/>
        <v>588.20000000000005</v>
      </c>
      <c r="L30" s="15">
        <v>0</v>
      </c>
      <c r="M30" s="15">
        <v>0</v>
      </c>
      <c r="N30" s="15">
        <f>E30*0.115+99.88</f>
        <v>715.13</v>
      </c>
      <c r="O30" s="15">
        <f t="shared" si="18"/>
        <v>1303.33</v>
      </c>
      <c r="P30" s="18">
        <f t="shared" si="14"/>
        <v>4046.67</v>
      </c>
      <c r="Q30" s="10">
        <v>256.68</v>
      </c>
      <c r="R30" s="10">
        <v>1070</v>
      </c>
      <c r="S30" s="35">
        <f t="shared" si="15"/>
        <v>1326.68</v>
      </c>
    </row>
    <row r="31" spans="2:19" x14ac:dyDescent="0.25">
      <c r="B31" t="s">
        <v>125</v>
      </c>
      <c r="C31" t="s">
        <v>104</v>
      </c>
      <c r="D31" t="s">
        <v>78</v>
      </c>
      <c r="E31" s="15">
        <v>5350</v>
      </c>
      <c r="F31" s="29">
        <v>15</v>
      </c>
      <c r="G31" s="15"/>
      <c r="H31" s="15">
        <f t="shared" si="16"/>
        <v>5350</v>
      </c>
      <c r="I31" s="15">
        <v>0</v>
      </c>
      <c r="J31" s="15">
        <v>588.20000000000005</v>
      </c>
      <c r="K31" s="15">
        <f t="shared" si="17"/>
        <v>588.20000000000005</v>
      </c>
      <c r="L31" s="15">
        <v>0</v>
      </c>
      <c r="M31" s="15">
        <v>0</v>
      </c>
      <c r="N31" s="15">
        <f t="shared" ref="N31:N38" si="19">E31*0.115+93.63</f>
        <v>708.88</v>
      </c>
      <c r="O31" s="15">
        <f t="shared" si="18"/>
        <v>1297.08</v>
      </c>
      <c r="P31" s="18">
        <f t="shared" si="14"/>
        <v>4052.92</v>
      </c>
      <c r="Q31" s="10">
        <v>256.68</v>
      </c>
      <c r="R31" s="10">
        <v>1070</v>
      </c>
      <c r="S31" s="35">
        <f t="shared" si="15"/>
        <v>1326.68</v>
      </c>
    </row>
    <row r="32" spans="2:19" x14ac:dyDescent="0.25">
      <c r="B32" t="s">
        <v>126</v>
      </c>
      <c r="C32" t="s">
        <v>94</v>
      </c>
      <c r="D32" t="s">
        <v>81</v>
      </c>
      <c r="E32" s="15">
        <v>5350</v>
      </c>
      <c r="F32" s="29">
        <v>15</v>
      </c>
      <c r="G32" s="15"/>
      <c r="H32" s="15">
        <f t="shared" si="16"/>
        <v>5350</v>
      </c>
      <c r="I32" s="15">
        <v>0</v>
      </c>
      <c r="J32" s="15">
        <v>588.20000000000005</v>
      </c>
      <c r="K32" s="15">
        <f t="shared" si="17"/>
        <v>588.20000000000005</v>
      </c>
      <c r="L32" s="15">
        <v>0</v>
      </c>
      <c r="M32" s="15">
        <v>0</v>
      </c>
      <c r="N32" s="15">
        <f t="shared" si="19"/>
        <v>708.88</v>
      </c>
      <c r="O32" s="15">
        <f t="shared" si="18"/>
        <v>1297.08</v>
      </c>
      <c r="P32" s="18">
        <f t="shared" si="14"/>
        <v>4052.92</v>
      </c>
      <c r="Q32" s="10">
        <v>256.68</v>
      </c>
      <c r="R32" s="10">
        <v>1070</v>
      </c>
      <c r="S32" s="35">
        <f t="shared" si="15"/>
        <v>1326.68</v>
      </c>
    </row>
    <row r="33" spans="2:19" x14ac:dyDescent="0.25">
      <c r="B33" t="s">
        <v>127</v>
      </c>
      <c r="C33" t="s">
        <v>98</v>
      </c>
      <c r="D33" t="s">
        <v>81</v>
      </c>
      <c r="E33" s="15">
        <v>5350</v>
      </c>
      <c r="F33" s="29">
        <v>15</v>
      </c>
      <c r="G33" s="15"/>
      <c r="H33" s="15">
        <f t="shared" si="16"/>
        <v>5350</v>
      </c>
      <c r="I33" s="15">
        <v>0</v>
      </c>
      <c r="J33" s="15">
        <v>588.20000000000005</v>
      </c>
      <c r="K33" s="15">
        <f t="shared" si="17"/>
        <v>588.20000000000005</v>
      </c>
      <c r="L33" s="15">
        <v>0</v>
      </c>
      <c r="M33" s="15">
        <v>0</v>
      </c>
      <c r="N33" s="15">
        <f t="shared" si="19"/>
        <v>708.88</v>
      </c>
      <c r="O33" s="15">
        <f t="shared" si="18"/>
        <v>1297.08</v>
      </c>
      <c r="P33" s="18">
        <f t="shared" si="14"/>
        <v>4052.92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128</v>
      </c>
      <c r="C34" t="s">
        <v>101</v>
      </c>
      <c r="D34" t="s">
        <v>81</v>
      </c>
      <c r="E34" s="15">
        <v>5350</v>
      </c>
      <c r="F34" s="29">
        <v>15</v>
      </c>
      <c r="G34" s="15"/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9"/>
        <v>708.88</v>
      </c>
      <c r="O34" s="15">
        <f t="shared" si="18"/>
        <v>1297.08</v>
      </c>
      <c r="P34" s="18">
        <f t="shared" si="14"/>
        <v>4052.92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129</v>
      </c>
      <c r="C35" t="s">
        <v>95</v>
      </c>
      <c r="D35" t="s">
        <v>82</v>
      </c>
      <c r="E35" s="15">
        <v>5350</v>
      </c>
      <c r="F35" s="29">
        <v>15</v>
      </c>
      <c r="G35" s="15"/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9"/>
        <v>708.88</v>
      </c>
      <c r="O35" s="15">
        <f t="shared" si="18"/>
        <v>1297.08</v>
      </c>
      <c r="P35" s="18">
        <f t="shared" si="14"/>
        <v>4052.92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130</v>
      </c>
      <c r="C36" t="s">
        <v>102</v>
      </c>
      <c r="D36" t="s">
        <v>82</v>
      </c>
      <c r="E36" s="15">
        <v>5350</v>
      </c>
      <c r="F36" s="29">
        <v>15</v>
      </c>
      <c r="G36" s="15"/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9"/>
        <v>708.88</v>
      </c>
      <c r="O36" s="15">
        <f t="shared" si="18"/>
        <v>1297.08</v>
      </c>
      <c r="P36" s="18">
        <f t="shared" si="14"/>
        <v>4052.92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131</v>
      </c>
      <c r="C37" t="s">
        <v>85</v>
      </c>
      <c r="D37" t="s">
        <v>83</v>
      </c>
      <c r="E37" s="15">
        <v>5350</v>
      </c>
      <c r="F37" s="29">
        <v>15</v>
      </c>
      <c r="G37" s="15"/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9"/>
        <v>708.88</v>
      </c>
      <c r="O37" s="15">
        <f t="shared" si="18"/>
        <v>1297.08</v>
      </c>
      <c r="P37" s="18">
        <f t="shared" si="14"/>
        <v>4052.92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132</v>
      </c>
      <c r="C38" t="s">
        <v>103</v>
      </c>
      <c r="D38" t="s">
        <v>83</v>
      </c>
      <c r="E38" s="15">
        <v>5350</v>
      </c>
      <c r="F38" s="29">
        <v>15</v>
      </c>
      <c r="G38" s="15"/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9"/>
        <v>708.88</v>
      </c>
      <c r="O38" s="15">
        <f t="shared" si="18"/>
        <v>1297.08</v>
      </c>
      <c r="P38" s="18">
        <f t="shared" si="14"/>
        <v>4052.92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s="2" t="s">
        <v>26</v>
      </c>
      <c r="C39" s="30"/>
      <c r="D39" s="30"/>
      <c r="E39" s="34">
        <f>SUM(E28:E38)</f>
        <v>58850</v>
      </c>
      <c r="F39" s="34"/>
      <c r="G39" s="34">
        <f>SUM(G28:G38)</f>
        <v>0</v>
      </c>
      <c r="H39" s="34">
        <f>SUM(H28:H38)</f>
        <v>58850</v>
      </c>
      <c r="I39" s="34">
        <f t="shared" ref="I39:S39" si="20">SUM(I28:I38)</f>
        <v>0</v>
      </c>
      <c r="J39" s="34">
        <f t="shared" si="20"/>
        <v>6470.1999999999989</v>
      </c>
      <c r="K39" s="34">
        <f t="shared" si="20"/>
        <v>6470.1999999999989</v>
      </c>
      <c r="L39" s="34">
        <f t="shared" si="20"/>
        <v>0</v>
      </c>
      <c r="M39" s="34">
        <f t="shared" si="20"/>
        <v>0</v>
      </c>
      <c r="N39" s="34">
        <f t="shared" si="20"/>
        <v>7804.0300000000007</v>
      </c>
      <c r="O39" s="34">
        <f t="shared" si="20"/>
        <v>14274.23</v>
      </c>
      <c r="P39" s="34">
        <f t="shared" si="20"/>
        <v>44575.76999999999</v>
      </c>
      <c r="Q39" s="34">
        <f t="shared" si="20"/>
        <v>2823.4799999999996</v>
      </c>
      <c r="R39" s="34">
        <f t="shared" si="20"/>
        <v>11770</v>
      </c>
      <c r="S39" s="34">
        <f t="shared" si="20"/>
        <v>14593.480000000001</v>
      </c>
    </row>
    <row r="40" spans="2:19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9" x14ac:dyDescent="0.25">
      <c r="B41" s="2" t="s">
        <v>140</v>
      </c>
      <c r="C41" s="2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t="s">
        <v>133</v>
      </c>
      <c r="C42" t="s">
        <v>99</v>
      </c>
      <c r="D42" t="s">
        <v>80</v>
      </c>
      <c r="E42" s="15">
        <v>5350</v>
      </c>
      <c r="F42" s="29">
        <v>15</v>
      </c>
      <c r="G42" s="15"/>
      <c r="H42" s="15">
        <f>E42-G42</f>
        <v>5350</v>
      </c>
      <c r="I42" s="15">
        <v>0</v>
      </c>
      <c r="J42" s="15">
        <v>588.20000000000005</v>
      </c>
      <c r="K42" s="15">
        <f>J42-I42</f>
        <v>588.20000000000005</v>
      </c>
      <c r="L42" s="15">
        <v>0</v>
      </c>
      <c r="M42" s="15">
        <v>0</v>
      </c>
      <c r="N42" s="15">
        <f>H42*0.115+101.23</f>
        <v>716.48</v>
      </c>
      <c r="O42" s="15">
        <f>SUM(K42:N42)</f>
        <v>1304.68</v>
      </c>
      <c r="P42" s="18">
        <f>H42-O42</f>
        <v>4045.3199999999997</v>
      </c>
      <c r="Q42" s="10">
        <v>256.68</v>
      </c>
      <c r="R42" s="10">
        <v>1070</v>
      </c>
      <c r="S42" s="35">
        <f t="shared" ref="S42:S43" si="21">Q42+R42</f>
        <v>1326.68</v>
      </c>
    </row>
    <row r="43" spans="2:19" x14ac:dyDescent="0.25">
      <c r="B43" t="s">
        <v>152</v>
      </c>
      <c r="C43" t="s">
        <v>92</v>
      </c>
      <c r="D43" t="s">
        <v>80</v>
      </c>
      <c r="E43" s="15">
        <v>5350</v>
      </c>
      <c r="F43" s="29">
        <v>15</v>
      </c>
      <c r="G43" s="15"/>
      <c r="H43" s="15">
        <f>E43-G43</f>
        <v>5350</v>
      </c>
      <c r="I43" s="15">
        <v>0</v>
      </c>
      <c r="J43" s="15">
        <v>588.20000000000005</v>
      </c>
      <c r="K43" s="15">
        <v>588.20000000000005</v>
      </c>
      <c r="L43" s="15">
        <v>0</v>
      </c>
      <c r="M43" s="15">
        <v>0</v>
      </c>
      <c r="N43" s="15">
        <f>H43*0.115</f>
        <v>615.25</v>
      </c>
      <c r="O43" s="15">
        <f>SUM(K43:N43)</f>
        <v>1203.45</v>
      </c>
      <c r="P43" s="18">
        <f>H43-O43</f>
        <v>4146.55</v>
      </c>
      <c r="Q43" s="10">
        <v>256.68</v>
      </c>
      <c r="R43" s="10">
        <v>1070</v>
      </c>
      <c r="S43" s="35">
        <f t="shared" si="21"/>
        <v>1326.68</v>
      </c>
    </row>
    <row r="44" spans="2:19" x14ac:dyDescent="0.25">
      <c r="B44" s="2" t="s">
        <v>26</v>
      </c>
      <c r="C44" s="30"/>
      <c r="D44" s="30"/>
      <c r="E44" s="34">
        <f>E42+E43</f>
        <v>10700</v>
      </c>
      <c r="F44" s="34"/>
      <c r="G44" s="34">
        <f>G42+G43</f>
        <v>0</v>
      </c>
      <c r="H44" s="34">
        <f t="shared" ref="H44:S44" si="22">H42+H43</f>
        <v>10700</v>
      </c>
      <c r="I44" s="34">
        <f t="shared" si="22"/>
        <v>0</v>
      </c>
      <c r="J44" s="34">
        <f t="shared" si="22"/>
        <v>1176.4000000000001</v>
      </c>
      <c r="K44" s="34">
        <f t="shared" si="22"/>
        <v>1176.4000000000001</v>
      </c>
      <c r="L44" s="34">
        <f t="shared" si="22"/>
        <v>0</v>
      </c>
      <c r="M44" s="34">
        <f t="shared" si="22"/>
        <v>0</v>
      </c>
      <c r="N44" s="34">
        <f t="shared" si="22"/>
        <v>1331.73</v>
      </c>
      <c r="O44" s="34">
        <f t="shared" si="22"/>
        <v>2508.13</v>
      </c>
      <c r="P44" s="34">
        <f t="shared" si="22"/>
        <v>8191.87</v>
      </c>
      <c r="Q44" s="34">
        <f t="shared" si="22"/>
        <v>513.36</v>
      </c>
      <c r="R44" s="34">
        <f t="shared" si="22"/>
        <v>2140</v>
      </c>
      <c r="S44" s="34">
        <f t="shared" si="22"/>
        <v>2653.36</v>
      </c>
    </row>
    <row r="45" spans="2:19" x14ac:dyDescent="0.25">
      <c r="B45" s="2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8"/>
      <c r="R45" s="8"/>
      <c r="S45" s="8"/>
    </row>
    <row r="46" spans="2:19" x14ac:dyDescent="0.25">
      <c r="B46" s="2" t="s">
        <v>161</v>
      </c>
      <c r="C46" s="2" t="s">
        <v>162</v>
      </c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t="s">
        <v>163</v>
      </c>
      <c r="C47" s="11" t="s">
        <v>42</v>
      </c>
      <c r="D47" t="s">
        <v>2</v>
      </c>
      <c r="E47" s="15">
        <v>10000</v>
      </c>
      <c r="F47" s="29">
        <v>15</v>
      </c>
      <c r="G47" s="15"/>
      <c r="H47" s="15">
        <f>E47-G47</f>
        <v>10000</v>
      </c>
      <c r="I47" s="15">
        <v>0</v>
      </c>
      <c r="J47" s="15">
        <v>1581.44</v>
      </c>
      <c r="K47" s="15">
        <f>J47-I47</f>
        <v>1581.44</v>
      </c>
      <c r="L47" s="15">
        <v>0</v>
      </c>
      <c r="M47" s="15">
        <v>0</v>
      </c>
      <c r="N47" s="15">
        <f>E47*0.115+175</f>
        <v>1325</v>
      </c>
      <c r="O47" s="15">
        <f>SUM(K47:N47)</f>
        <v>2906.44</v>
      </c>
      <c r="P47" s="18">
        <f>H47-O47</f>
        <v>7093.5599999999995</v>
      </c>
      <c r="Q47" s="10">
        <v>285.52999999999997</v>
      </c>
      <c r="R47" s="10">
        <v>2000</v>
      </c>
      <c r="S47" s="35">
        <f>Q47+R47</f>
        <v>2285.5299999999997</v>
      </c>
    </row>
    <row r="48" spans="2:19" x14ac:dyDescent="0.25">
      <c r="B48" s="2" t="s">
        <v>26</v>
      </c>
      <c r="E48" s="34">
        <f>E47</f>
        <v>10000</v>
      </c>
      <c r="F48" s="34"/>
      <c r="G48" s="34">
        <f>G47</f>
        <v>0</v>
      </c>
      <c r="H48" s="34">
        <f t="shared" ref="H48:S48" si="23">H47</f>
        <v>10000</v>
      </c>
      <c r="I48" s="34">
        <f t="shared" si="23"/>
        <v>0</v>
      </c>
      <c r="J48" s="34">
        <f t="shared" si="23"/>
        <v>1581.44</v>
      </c>
      <c r="K48" s="34">
        <f t="shared" si="23"/>
        <v>1581.44</v>
      </c>
      <c r="L48" s="34">
        <f t="shared" si="23"/>
        <v>0</v>
      </c>
      <c r="M48" s="34">
        <f t="shared" si="23"/>
        <v>0</v>
      </c>
      <c r="N48" s="34">
        <f t="shared" si="23"/>
        <v>1325</v>
      </c>
      <c r="O48" s="34">
        <f t="shared" si="23"/>
        <v>2906.44</v>
      </c>
      <c r="P48" s="34">
        <f t="shared" si="23"/>
        <v>7093.5599999999995</v>
      </c>
      <c r="Q48" s="34">
        <f t="shared" si="23"/>
        <v>285.52999999999997</v>
      </c>
      <c r="R48" s="34">
        <f t="shared" si="23"/>
        <v>2000</v>
      </c>
      <c r="S48" s="34">
        <f t="shared" si="23"/>
        <v>2285.5299999999997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E8+E19+E25+E39+E44+E48</f>
        <v>158954.95000000001</v>
      </c>
      <c r="F51" s="17"/>
      <c r="G51" s="17">
        <f>G8+G19+G25+G39+G44+G48</f>
        <v>0</v>
      </c>
      <c r="H51" s="17">
        <f t="shared" ref="H51:S51" si="24">H8+H19+H25+H39+H44+H48</f>
        <v>158954.95000000001</v>
      </c>
      <c r="I51" s="17">
        <f t="shared" si="24"/>
        <v>274.08999999999997</v>
      </c>
      <c r="J51" s="17">
        <f t="shared" si="24"/>
        <v>19499.7</v>
      </c>
      <c r="K51" s="17">
        <f t="shared" si="24"/>
        <v>19225.61</v>
      </c>
      <c r="L51" s="17">
        <f t="shared" si="24"/>
        <v>0</v>
      </c>
      <c r="M51" s="17">
        <f t="shared" si="24"/>
        <v>0</v>
      </c>
      <c r="N51" s="17">
        <f t="shared" si="24"/>
        <v>20663.04925</v>
      </c>
      <c r="O51" s="17">
        <f t="shared" si="24"/>
        <v>39888.659250000004</v>
      </c>
      <c r="P51" s="17">
        <f t="shared" si="24"/>
        <v>119066.29074999999</v>
      </c>
      <c r="Q51" s="17">
        <f t="shared" si="24"/>
        <v>7020.3799999999992</v>
      </c>
      <c r="R51" s="17">
        <f t="shared" si="24"/>
        <v>31790.989999999998</v>
      </c>
      <c r="S51" s="17">
        <f t="shared" si="24"/>
        <v>38811.370000000003</v>
      </c>
    </row>
    <row r="55" spans="2:19" ht="15.75" thickBot="1" x14ac:dyDescent="0.3">
      <c r="E55" s="89"/>
      <c r="F55" s="89"/>
      <c r="N55" s="89"/>
      <c r="O55" s="89"/>
    </row>
    <row r="57" spans="2:19" x14ac:dyDescent="0.25">
      <c r="E57" s="91" t="s">
        <v>146</v>
      </c>
      <c r="F57" s="91"/>
      <c r="N57" s="91" t="s">
        <v>157</v>
      </c>
      <c r="O57" s="91"/>
    </row>
  </sheetData>
  <mergeCells count="6">
    <mergeCell ref="C2:D2"/>
    <mergeCell ref="E3:S3"/>
    <mergeCell ref="E55:F55"/>
    <mergeCell ref="N55:O55"/>
    <mergeCell ref="E57:F57"/>
    <mergeCell ref="N57:O57"/>
  </mergeCells>
  <pageMargins left="0.70866141732283472" right="0.70866141732283472" top="0.74803149606299213" bottom="0.74803149606299213" header="0.31496062992125984" footer="0.31496062992125984"/>
  <pageSetup paperSize="300" scale="5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58"/>
  <sheetViews>
    <sheetView topLeftCell="B1" workbookViewId="0">
      <selection activeCell="N7" sqref="N7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9" max="10" width="0" hidden="1" customWidth="1"/>
    <col min="11" max="11" width="13.42578125" customWidth="1"/>
    <col min="12" max="13" width="0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3" spans="2:19" ht="18.75" x14ac:dyDescent="0.25">
      <c r="C3" s="86" t="s">
        <v>166</v>
      </c>
      <c r="D3" s="8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.75" thickBot="1" x14ac:dyDescent="0.3"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2:19" ht="47.25" thickTop="1" thickBot="1" x14ac:dyDescent="0.3">
      <c r="B5" s="31" t="s">
        <v>9</v>
      </c>
      <c r="C5" s="32" t="s">
        <v>10</v>
      </c>
      <c r="D5" s="32" t="s">
        <v>0</v>
      </c>
      <c r="E5" s="39" t="s">
        <v>11</v>
      </c>
      <c r="F5" s="39" t="s">
        <v>150</v>
      </c>
      <c r="G5" s="40" t="s">
        <v>159</v>
      </c>
      <c r="H5" s="39" t="s">
        <v>12</v>
      </c>
      <c r="I5" s="39" t="s">
        <v>107</v>
      </c>
      <c r="J5" s="39" t="s">
        <v>143</v>
      </c>
      <c r="K5" s="39" t="s">
        <v>13</v>
      </c>
      <c r="L5" s="39" t="s">
        <v>15</v>
      </c>
      <c r="M5" s="39" t="s">
        <v>106</v>
      </c>
      <c r="N5" s="39" t="s">
        <v>16</v>
      </c>
      <c r="O5" s="39" t="s">
        <v>17</v>
      </c>
      <c r="P5" s="39" t="s">
        <v>72</v>
      </c>
      <c r="Q5" s="32" t="s">
        <v>8</v>
      </c>
      <c r="R5" s="32" t="s">
        <v>18</v>
      </c>
      <c r="S5" s="41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/>
      <c r="H7" s="15">
        <f>E7-G7</f>
        <v>16954.95</v>
      </c>
      <c r="I7" s="15">
        <v>0</v>
      </c>
      <c r="J7" s="15">
        <v>3246.93</v>
      </c>
      <c r="K7" s="15">
        <f>J7-I7</f>
        <v>3246.93</v>
      </c>
      <c r="L7" s="15">
        <v>0</v>
      </c>
      <c r="M7" s="15">
        <v>0</v>
      </c>
      <c r="N7" s="15">
        <f>E7*0.115+296.71</f>
        <v>2246.52925</v>
      </c>
      <c r="O7" s="15">
        <f>SUM(K7:N7)</f>
        <v>5493.4592499999999</v>
      </c>
      <c r="P7" s="18">
        <f>H7-O7</f>
        <v>11461.490750000001</v>
      </c>
      <c r="Q7" s="10">
        <v>328.67</v>
      </c>
      <c r="R7" s="10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>
        <f t="shared" ref="H8" si="0">E8-G8</f>
        <v>4850</v>
      </c>
      <c r="I8" s="15">
        <v>0</v>
      </c>
      <c r="J8" s="15">
        <v>491.69</v>
      </c>
      <c r="K8" s="15">
        <f t="shared" ref="K8" si="1">J8-I8</f>
        <v>491.69</v>
      </c>
      <c r="L8" s="15">
        <v>0</v>
      </c>
      <c r="M8" s="15">
        <v>0</v>
      </c>
      <c r="N8" s="15">
        <f>E8*0.115+84.88</f>
        <v>642.63</v>
      </c>
      <c r="O8" s="15">
        <f t="shared" ref="O8" si="2">SUM(K8:N8)</f>
        <v>1134.32</v>
      </c>
      <c r="P8" s="18">
        <f>H8-O8</f>
        <v>3715.6800000000003</v>
      </c>
      <c r="Q8" s="10">
        <v>253.58</v>
      </c>
      <c r="R8" s="10">
        <v>970</v>
      </c>
      <c r="S8" s="35">
        <f t="shared" ref="S8" si="3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4">SUM(G7:G8)</f>
        <v>0</v>
      </c>
      <c r="H9" s="34">
        <f t="shared" si="4"/>
        <v>21804.95</v>
      </c>
      <c r="I9" s="34">
        <f t="shared" si="4"/>
        <v>0</v>
      </c>
      <c r="J9" s="34">
        <f t="shared" si="4"/>
        <v>3738.62</v>
      </c>
      <c r="K9" s="34">
        <f t="shared" si="4"/>
        <v>3738.62</v>
      </c>
      <c r="L9" s="34">
        <f t="shared" si="4"/>
        <v>0</v>
      </c>
      <c r="M9" s="34">
        <f t="shared" si="4"/>
        <v>0</v>
      </c>
      <c r="N9" s="34">
        <f t="shared" si="4"/>
        <v>2889.1592500000002</v>
      </c>
      <c r="O9" s="34">
        <f t="shared" si="4"/>
        <v>6627.7792499999996</v>
      </c>
      <c r="P9" s="34">
        <f t="shared" si="4"/>
        <v>15177.170750000001</v>
      </c>
      <c r="Q9" s="34">
        <f t="shared" si="4"/>
        <v>582.25</v>
      </c>
      <c r="R9" s="34">
        <f t="shared" si="4"/>
        <v>4360.99</v>
      </c>
      <c r="S9" s="34">
        <f t="shared" si="4"/>
        <v>4943.24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>
        <f>E12-G12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E12*0.115+175</f>
        <v>1325</v>
      </c>
      <c r="O12" s="15">
        <f t="shared" ref="O12:O17" si="5">SUM(K12:N12)</f>
        <v>2906.44</v>
      </c>
      <c r="P12" s="18">
        <f t="shared" ref="P12:P19" si="6">H12-O12</f>
        <v>7093.5599999999995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/>
      <c r="H13" s="15">
        <f t="shared" ref="H13:H19" si="7">E13-G13</f>
        <v>5350</v>
      </c>
      <c r="I13" s="15">
        <v>0</v>
      </c>
      <c r="J13" s="15">
        <v>588.20000000000005</v>
      </c>
      <c r="K13" s="15">
        <f t="shared" ref="K13:K19" si="8">J13-I13</f>
        <v>588.20000000000005</v>
      </c>
      <c r="L13" s="15">
        <v>0</v>
      </c>
      <c r="M13" s="15">
        <v>0</v>
      </c>
      <c r="N13" s="15">
        <f>E13*0.115+93.74</f>
        <v>708.99</v>
      </c>
      <c r="O13" s="15">
        <f t="shared" si="5"/>
        <v>1297.19</v>
      </c>
      <c r="P13" s="18">
        <f t="shared" si="6"/>
        <v>4052.81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/>
      <c r="H14" s="15">
        <f t="shared" si="7"/>
        <v>5350</v>
      </c>
      <c r="I14" s="3">
        <v>0</v>
      </c>
      <c r="J14" s="3">
        <v>588.20000000000005</v>
      </c>
      <c r="K14" s="15">
        <f t="shared" si="8"/>
        <v>588.20000000000005</v>
      </c>
      <c r="L14" s="3">
        <v>0</v>
      </c>
      <c r="M14" s="3">
        <v>0</v>
      </c>
      <c r="N14" s="15">
        <v>19.420000000000002</v>
      </c>
      <c r="O14" s="15">
        <f t="shared" si="5"/>
        <v>607.62</v>
      </c>
      <c r="P14" s="18">
        <f t="shared" si="6"/>
        <v>4742.38</v>
      </c>
      <c r="Q14" s="27">
        <v>256.68</v>
      </c>
      <c r="R14" s="10">
        <v>1070</v>
      </c>
      <c r="S14" s="35">
        <f>Q14+R14</f>
        <v>1326.68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>
        <f t="shared" si="7"/>
        <v>6000</v>
      </c>
      <c r="I15" s="15">
        <v>0</v>
      </c>
      <c r="J15" s="15">
        <v>727.04</v>
      </c>
      <c r="K15" s="15">
        <f t="shared" si="8"/>
        <v>727.04</v>
      </c>
      <c r="L15" s="15">
        <v>0</v>
      </c>
      <c r="M15" s="15">
        <v>0</v>
      </c>
      <c r="N15" s="15">
        <f t="shared" ref="N15:N19" si="9">E15*0.115</f>
        <v>690</v>
      </c>
      <c r="O15" s="15">
        <f t="shared" si="5"/>
        <v>1417.04</v>
      </c>
      <c r="P15" s="18">
        <f t="shared" si="6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/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>E16*0.115+87.5</f>
        <v>605</v>
      </c>
      <c r="O16" s="15">
        <f t="shared" si="5"/>
        <v>1033.97</v>
      </c>
      <c r="P16" s="18">
        <f t="shared" si="6"/>
        <v>3466.0299999999997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/>
      <c r="H17" s="15">
        <f t="shared" si="7"/>
        <v>4500</v>
      </c>
      <c r="I17" s="15">
        <v>0</v>
      </c>
      <c r="J17" s="15">
        <v>428.97</v>
      </c>
      <c r="K17" s="15">
        <f t="shared" si="8"/>
        <v>428.97</v>
      </c>
      <c r="L17" s="15">
        <v>0</v>
      </c>
      <c r="M17" s="15">
        <v>0</v>
      </c>
      <c r="N17" s="15">
        <f>E17*0.115+78.75</f>
        <v>596.25</v>
      </c>
      <c r="O17" s="15">
        <f t="shared" si="5"/>
        <v>1025.22</v>
      </c>
      <c r="P17" s="18">
        <f t="shared" si="6"/>
        <v>3474.7799999999997</v>
      </c>
      <c r="Q17" s="10">
        <v>251.41</v>
      </c>
      <c r="R17" s="10">
        <v>900</v>
      </c>
      <c r="S17" s="35">
        <f t="shared" ref="S17:S19" si="10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/>
      <c r="H18" s="15">
        <f t="shared" si="7"/>
        <v>2700</v>
      </c>
      <c r="I18" s="15">
        <v>147.32</v>
      </c>
      <c r="J18" s="15">
        <v>188.33</v>
      </c>
      <c r="K18" s="15">
        <f t="shared" si="8"/>
        <v>41.010000000000019</v>
      </c>
      <c r="L18" s="15">
        <v>0</v>
      </c>
      <c r="M18" s="15">
        <v>0</v>
      </c>
      <c r="N18" s="15">
        <f>E18*0.115+47.25</f>
        <v>357.75</v>
      </c>
      <c r="O18" s="15">
        <f>SUM(K18:N18)</f>
        <v>398.76</v>
      </c>
      <c r="P18" s="18">
        <f t="shared" si="6"/>
        <v>2301.2399999999998</v>
      </c>
      <c r="Q18" s="10">
        <v>240.25</v>
      </c>
      <c r="R18" s="10">
        <v>540</v>
      </c>
      <c r="S18" s="35">
        <f t="shared" si="10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>
        <f t="shared" si="7"/>
        <v>3150</v>
      </c>
      <c r="I19" s="15">
        <v>126.77</v>
      </c>
      <c r="J19" s="15">
        <v>237.29</v>
      </c>
      <c r="K19" s="15">
        <f t="shared" si="8"/>
        <v>110.52</v>
      </c>
      <c r="L19" s="15">
        <v>0</v>
      </c>
      <c r="M19" s="15">
        <v>0</v>
      </c>
      <c r="N19" s="15">
        <f t="shared" si="9"/>
        <v>362.25</v>
      </c>
      <c r="O19" s="15">
        <f>SUM(K19:N19)</f>
        <v>472.77</v>
      </c>
      <c r="P19" s="18">
        <f t="shared" si="6"/>
        <v>2677.23</v>
      </c>
      <c r="Q19" s="10">
        <v>243.04</v>
      </c>
      <c r="R19" s="10">
        <v>630</v>
      </c>
      <c r="S19" s="35">
        <f t="shared" si="10"/>
        <v>873.04</v>
      </c>
    </row>
    <row r="20" spans="2:19" x14ac:dyDescent="0.25">
      <c r="B20" s="2" t="s">
        <v>26</v>
      </c>
      <c r="C20" s="30"/>
      <c r="D20" s="30"/>
      <c r="E20" s="34">
        <f t="shared" ref="E20:S20" si="11">SUM(E12:E19)</f>
        <v>41550</v>
      </c>
      <c r="F20" s="34"/>
      <c r="G20" s="34">
        <f t="shared" si="11"/>
        <v>0</v>
      </c>
      <c r="H20" s="34">
        <f t="shared" si="11"/>
        <v>41550</v>
      </c>
      <c r="I20" s="34">
        <f t="shared" si="11"/>
        <v>274.08999999999997</v>
      </c>
      <c r="J20" s="34">
        <f t="shared" si="11"/>
        <v>4768.4400000000005</v>
      </c>
      <c r="K20" s="34">
        <f t="shared" si="11"/>
        <v>4494.3500000000013</v>
      </c>
      <c r="L20" s="34">
        <f t="shared" si="11"/>
        <v>0</v>
      </c>
      <c r="M20" s="34">
        <f t="shared" si="11"/>
        <v>0</v>
      </c>
      <c r="N20" s="34">
        <f t="shared" si="11"/>
        <v>4664.66</v>
      </c>
      <c r="O20" s="34">
        <f t="shared" si="11"/>
        <v>9159.01</v>
      </c>
      <c r="P20" s="34">
        <f t="shared" si="11"/>
        <v>32390.989999999994</v>
      </c>
      <c r="Q20" s="34">
        <f t="shared" si="11"/>
        <v>2045.7200000000003</v>
      </c>
      <c r="R20" s="34">
        <f t="shared" si="11"/>
        <v>8310</v>
      </c>
      <c r="S20" s="34">
        <f t="shared" si="11"/>
        <v>10355.720000000001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>
        <f>E23-G23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E23*0.115+93.66</f>
        <v>708.91</v>
      </c>
      <c r="O23" s="15">
        <f>SUM(K23:N23)</f>
        <v>1297.1100000000001</v>
      </c>
      <c r="P23" s="18">
        <f>H23-O23</f>
        <v>4052.89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>
        <f>E24-G24</f>
        <v>5350</v>
      </c>
      <c r="I24" s="15">
        <v>0</v>
      </c>
      <c r="J24" s="15">
        <v>588.20000000000005</v>
      </c>
      <c r="K24" s="15">
        <f>J24-I24</f>
        <v>588.20000000000005</v>
      </c>
      <c r="L24" s="15">
        <v>0</v>
      </c>
      <c r="M24" s="15">
        <v>0</v>
      </c>
      <c r="N24" s="15">
        <f>E24*0.115+93.63</f>
        <v>708.88</v>
      </c>
      <c r="O24" s="15">
        <f>SUM(K24:N24)</f>
        <v>1297.08</v>
      </c>
      <c r="P24" s="18">
        <f>H24-O24</f>
        <v>4052.92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>
        <f>E25-G25</f>
        <v>5350</v>
      </c>
      <c r="I25" s="15">
        <v>0</v>
      </c>
      <c r="J25" s="15">
        <v>588.20000000000005</v>
      </c>
      <c r="K25" s="15">
        <f>J25-I25</f>
        <v>588.20000000000005</v>
      </c>
      <c r="L25" s="15">
        <v>0</v>
      </c>
      <c r="M25" s="15">
        <v>0</v>
      </c>
      <c r="N25" s="15">
        <f t="shared" ref="N25" si="12">E25*0.115</f>
        <v>615.25</v>
      </c>
      <c r="O25" s="15">
        <f>SUM(K25:N25)</f>
        <v>1203.45</v>
      </c>
      <c r="P25" s="18">
        <f>H25-O25</f>
        <v>4146.55</v>
      </c>
      <c r="Q25" s="10">
        <v>256.68</v>
      </c>
      <c r="R25" s="10">
        <v>1070</v>
      </c>
      <c r="S25" s="35">
        <f>Q25+R25</f>
        <v>1326.68</v>
      </c>
    </row>
    <row r="26" spans="2:19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SUM(G23:G25)</f>
        <v>0</v>
      </c>
      <c r="H26" s="34">
        <f t="shared" ref="H26:S26" si="13">SUM(H23:H25)</f>
        <v>16050</v>
      </c>
      <c r="I26" s="34">
        <f t="shared" si="13"/>
        <v>0</v>
      </c>
      <c r="J26" s="34">
        <f t="shared" si="13"/>
        <v>1764.6000000000001</v>
      </c>
      <c r="K26" s="34">
        <f t="shared" si="13"/>
        <v>1764.6000000000001</v>
      </c>
      <c r="L26" s="34">
        <f t="shared" si="13"/>
        <v>0</v>
      </c>
      <c r="M26" s="34">
        <f t="shared" si="13"/>
        <v>0</v>
      </c>
      <c r="N26" s="34">
        <f t="shared" si="13"/>
        <v>2033.04</v>
      </c>
      <c r="O26" s="34">
        <f t="shared" si="13"/>
        <v>3797.6400000000003</v>
      </c>
      <c r="P26" s="34">
        <f t="shared" si="13"/>
        <v>12252.36</v>
      </c>
      <c r="Q26" s="34">
        <f t="shared" si="13"/>
        <v>770.04</v>
      </c>
      <c r="R26" s="34">
        <f t="shared" si="13"/>
        <v>3210</v>
      </c>
      <c r="S26" s="34">
        <f t="shared" si="13"/>
        <v>3980.04</v>
      </c>
    </row>
    <row r="27" spans="2:19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>
        <f>E29-G29</f>
        <v>5350</v>
      </c>
      <c r="I29" s="15">
        <v>0</v>
      </c>
      <c r="J29" s="15">
        <v>588.20000000000005</v>
      </c>
      <c r="K29" s="15">
        <f>J29-I29</f>
        <v>588.20000000000005</v>
      </c>
      <c r="L29" s="15">
        <v>0</v>
      </c>
      <c r="M29" s="15">
        <v>0</v>
      </c>
      <c r="N29" s="15">
        <f>E29*0.115+93.65</f>
        <v>708.9</v>
      </c>
      <c r="O29" s="15">
        <f>SUM(K29:N29)</f>
        <v>1297.0999999999999</v>
      </c>
      <c r="P29" s="18">
        <f t="shared" ref="P29:P39" si="14">H29-O29</f>
        <v>4052.9</v>
      </c>
      <c r="Q29" s="10">
        <v>256.68</v>
      </c>
      <c r="R29" s="10">
        <v>1070</v>
      </c>
      <c r="S29" s="35">
        <f t="shared" ref="S29:S39" si="15">Q29+R29</f>
        <v>1326.68</v>
      </c>
    </row>
    <row r="30" spans="2:19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>
        <f t="shared" ref="H30:H39" si="16">E30-G30</f>
        <v>5350</v>
      </c>
      <c r="I30" s="15">
        <v>0</v>
      </c>
      <c r="J30" s="15">
        <v>588.20000000000005</v>
      </c>
      <c r="K30" s="15">
        <f t="shared" ref="K30:K39" si="17">J30-I30</f>
        <v>588.20000000000005</v>
      </c>
      <c r="L30" s="15">
        <v>0</v>
      </c>
      <c r="M30" s="15">
        <v>0</v>
      </c>
      <c r="N30" s="15">
        <f>E30*0.115+93.71</f>
        <v>708.96</v>
      </c>
      <c r="O30" s="15">
        <f t="shared" ref="O30:O39" si="18">SUM(K30:N30)</f>
        <v>1297.1600000000001</v>
      </c>
      <c r="P30" s="18">
        <f t="shared" si="14"/>
        <v>4052.84</v>
      </c>
      <c r="Q30" s="10">
        <v>256.68</v>
      </c>
      <c r="R30" s="10">
        <v>1070</v>
      </c>
      <c r="S30" s="35">
        <f t="shared" si="15"/>
        <v>1326.68</v>
      </c>
    </row>
    <row r="31" spans="2:19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>
        <f t="shared" si="16"/>
        <v>5350</v>
      </c>
      <c r="I31" s="15">
        <v>0</v>
      </c>
      <c r="J31" s="15">
        <v>588.20000000000005</v>
      </c>
      <c r="K31" s="15">
        <f t="shared" si="17"/>
        <v>588.20000000000005</v>
      </c>
      <c r="L31" s="15">
        <v>0</v>
      </c>
      <c r="M31" s="15">
        <v>0</v>
      </c>
      <c r="N31" s="15">
        <f>E31*0.115+99.88</f>
        <v>715.13</v>
      </c>
      <c r="O31" s="15">
        <f t="shared" si="18"/>
        <v>1303.33</v>
      </c>
      <c r="P31" s="18">
        <f t="shared" si="14"/>
        <v>4046.67</v>
      </c>
      <c r="Q31" s="10">
        <v>256.68</v>
      </c>
      <c r="R31" s="10">
        <v>1070</v>
      </c>
      <c r="S31" s="35">
        <f t="shared" si="15"/>
        <v>1326.68</v>
      </c>
    </row>
    <row r="32" spans="2:19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>
        <f t="shared" si="16"/>
        <v>5350</v>
      </c>
      <c r="I32" s="15">
        <v>0</v>
      </c>
      <c r="J32" s="15">
        <v>588.20000000000005</v>
      </c>
      <c r="K32" s="15">
        <f t="shared" si="17"/>
        <v>588.20000000000005</v>
      </c>
      <c r="L32" s="15">
        <v>0</v>
      </c>
      <c r="M32" s="15">
        <v>0</v>
      </c>
      <c r="N32" s="15">
        <f>E32*0.115+93.63</f>
        <v>708.88</v>
      </c>
      <c r="O32" s="15">
        <f t="shared" si="18"/>
        <v>1297.08</v>
      </c>
      <c r="P32" s="18">
        <f t="shared" si="14"/>
        <v>4052.92</v>
      </c>
      <c r="Q32" s="10">
        <v>256.68</v>
      </c>
      <c r="R32" s="10">
        <v>1070</v>
      </c>
      <c r="S32" s="35">
        <f t="shared" si="15"/>
        <v>1326.68</v>
      </c>
    </row>
    <row r="33" spans="2:19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/>
      <c r="H33" s="15">
        <f t="shared" si="16"/>
        <v>5350</v>
      </c>
      <c r="I33" s="15">
        <v>0</v>
      </c>
      <c r="J33" s="15">
        <v>588.20000000000005</v>
      </c>
      <c r="K33" s="15">
        <f t="shared" si="17"/>
        <v>588.20000000000005</v>
      </c>
      <c r="L33" s="15">
        <v>0</v>
      </c>
      <c r="M33" s="15">
        <v>0</v>
      </c>
      <c r="N33" s="15">
        <f t="shared" ref="N33:N39" si="19">E33*0.115+93.63</f>
        <v>708.88</v>
      </c>
      <c r="O33" s="15">
        <f t="shared" si="18"/>
        <v>1297.08</v>
      </c>
      <c r="P33" s="18">
        <f t="shared" si="14"/>
        <v>4052.92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9"/>
        <v>708.88</v>
      </c>
      <c r="O34" s="15">
        <f t="shared" si="18"/>
        <v>1297.08</v>
      </c>
      <c r="P34" s="18">
        <f t="shared" si="14"/>
        <v>4052.92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9"/>
        <v>708.88</v>
      </c>
      <c r="O35" s="15">
        <f t="shared" si="18"/>
        <v>1297.08</v>
      </c>
      <c r="P35" s="18">
        <f t="shared" si="14"/>
        <v>4052.92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9"/>
        <v>708.88</v>
      </c>
      <c r="O36" s="15">
        <f t="shared" si="18"/>
        <v>1297.08</v>
      </c>
      <c r="P36" s="18">
        <f t="shared" si="14"/>
        <v>4052.92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9"/>
        <v>708.88</v>
      </c>
      <c r="O37" s="15">
        <f t="shared" si="18"/>
        <v>1297.08</v>
      </c>
      <c r="P37" s="18">
        <f t="shared" si="14"/>
        <v>4052.92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/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9"/>
        <v>708.88</v>
      </c>
      <c r="O38" s="15">
        <f t="shared" si="18"/>
        <v>1297.08</v>
      </c>
      <c r="P38" s="18">
        <f t="shared" si="14"/>
        <v>4052.92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9"/>
        <v>708.88</v>
      </c>
      <c r="O39" s="15">
        <f t="shared" si="18"/>
        <v>1297.08</v>
      </c>
      <c r="P39" s="18">
        <f t="shared" si="14"/>
        <v>4052.92</v>
      </c>
      <c r="Q39" s="10">
        <v>256.68</v>
      </c>
      <c r="R39" s="10">
        <v>1070</v>
      </c>
      <c r="S39" s="35">
        <f t="shared" si="15"/>
        <v>1326.68</v>
      </c>
    </row>
    <row r="40" spans="2:19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SUM(G29:G39)</f>
        <v>0</v>
      </c>
      <c r="H40" s="34">
        <f>SUM(H29:H39)</f>
        <v>58850</v>
      </c>
      <c r="I40" s="34">
        <f t="shared" ref="I40:S40" si="20">SUM(I29:I39)</f>
        <v>0</v>
      </c>
      <c r="J40" s="34">
        <f t="shared" si="20"/>
        <v>6470.1999999999989</v>
      </c>
      <c r="K40" s="34">
        <f t="shared" si="20"/>
        <v>6470.1999999999989</v>
      </c>
      <c r="L40" s="34">
        <f t="shared" si="20"/>
        <v>0</v>
      </c>
      <c r="M40" s="34">
        <f t="shared" si="20"/>
        <v>0</v>
      </c>
      <c r="N40" s="34">
        <f t="shared" si="20"/>
        <v>7804.0300000000007</v>
      </c>
      <c r="O40" s="34">
        <f t="shared" si="20"/>
        <v>14274.23</v>
      </c>
      <c r="P40" s="34">
        <f t="shared" si="20"/>
        <v>44575.76999999999</v>
      </c>
      <c r="Q40" s="34">
        <f t="shared" si="20"/>
        <v>2823.4799999999996</v>
      </c>
      <c r="R40" s="34">
        <f t="shared" si="20"/>
        <v>11770</v>
      </c>
      <c r="S40" s="34">
        <f t="shared" si="20"/>
        <v>14593.480000000001</v>
      </c>
    </row>
    <row r="41" spans="2:19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9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>
        <f>E43-G43</f>
        <v>5350</v>
      </c>
      <c r="I43" s="15">
        <v>0</v>
      </c>
      <c r="J43" s="15">
        <v>588.20000000000005</v>
      </c>
      <c r="K43" s="15">
        <f>J43-I43</f>
        <v>588.20000000000005</v>
      </c>
      <c r="L43" s="15">
        <v>0</v>
      </c>
      <c r="M43" s="15">
        <v>0</v>
      </c>
      <c r="N43" s="15">
        <f>H43*0.115+101.23</f>
        <v>716.48</v>
      </c>
      <c r="O43" s="15">
        <f>SUM(K43:N43)</f>
        <v>1304.68</v>
      </c>
      <c r="P43" s="18">
        <f>H43-O43</f>
        <v>4045.3199999999997</v>
      </c>
      <c r="Q43" s="10">
        <v>256.68</v>
      </c>
      <c r="R43" s="10">
        <v>1070</v>
      </c>
      <c r="S43" s="35">
        <f t="shared" ref="S43:S44" si="21">Q43+R43</f>
        <v>1326.68</v>
      </c>
    </row>
    <row r="44" spans="2:19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>
        <f>E44-G44</f>
        <v>5350</v>
      </c>
      <c r="I44" s="15">
        <v>0</v>
      </c>
      <c r="J44" s="15">
        <v>588.20000000000005</v>
      </c>
      <c r="K44" s="15">
        <v>588.20000000000005</v>
      </c>
      <c r="L44" s="15">
        <v>0</v>
      </c>
      <c r="M44" s="15">
        <v>0</v>
      </c>
      <c r="N44" s="15">
        <f>H44*0.115</f>
        <v>615.25</v>
      </c>
      <c r="O44" s="15">
        <f>SUM(K44:N44)</f>
        <v>1203.45</v>
      </c>
      <c r="P44" s="18">
        <f>H44-O44</f>
        <v>4146.55</v>
      </c>
      <c r="Q44" s="10">
        <v>256.68</v>
      </c>
      <c r="R44" s="10">
        <v>1070</v>
      </c>
      <c r="S44" s="35">
        <f t="shared" si="21"/>
        <v>1326.68</v>
      </c>
    </row>
    <row r="45" spans="2:19" x14ac:dyDescent="0.25">
      <c r="B45" s="2" t="s">
        <v>26</v>
      </c>
      <c r="C45" s="30"/>
      <c r="D45" s="30"/>
      <c r="E45" s="34">
        <f>E43+E44</f>
        <v>10700</v>
      </c>
      <c r="F45" s="34"/>
      <c r="G45" s="34">
        <f>G43+G44</f>
        <v>0</v>
      </c>
      <c r="H45" s="34">
        <f t="shared" ref="H45:S45" si="22">H43+H44</f>
        <v>10700</v>
      </c>
      <c r="I45" s="34">
        <f t="shared" si="22"/>
        <v>0</v>
      </c>
      <c r="J45" s="34">
        <f t="shared" si="22"/>
        <v>1176.4000000000001</v>
      </c>
      <c r="K45" s="34">
        <f t="shared" si="22"/>
        <v>1176.4000000000001</v>
      </c>
      <c r="L45" s="34">
        <f t="shared" si="22"/>
        <v>0</v>
      </c>
      <c r="M45" s="34">
        <f t="shared" si="22"/>
        <v>0</v>
      </c>
      <c r="N45" s="34">
        <f t="shared" si="22"/>
        <v>1331.73</v>
      </c>
      <c r="O45" s="34">
        <f t="shared" si="22"/>
        <v>2508.13</v>
      </c>
      <c r="P45" s="34">
        <f t="shared" si="22"/>
        <v>8191.87</v>
      </c>
      <c r="Q45" s="34">
        <f t="shared" si="22"/>
        <v>513.36</v>
      </c>
      <c r="R45" s="34">
        <f t="shared" si="22"/>
        <v>2140</v>
      </c>
      <c r="S45" s="34">
        <f t="shared" si="22"/>
        <v>2653.36</v>
      </c>
    </row>
    <row r="46" spans="2:19" x14ac:dyDescent="0.25">
      <c r="B46" s="2"/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s="2" t="s">
        <v>161</v>
      </c>
      <c r="C47" s="2" t="s">
        <v>162</v>
      </c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8"/>
      <c r="R47" s="8"/>
      <c r="S47" s="8"/>
    </row>
    <row r="48" spans="2:19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>
        <f>E48-G48</f>
        <v>10000</v>
      </c>
      <c r="I48" s="15">
        <v>0</v>
      </c>
      <c r="J48" s="15">
        <v>1581.44</v>
      </c>
      <c r="K48" s="15">
        <f>J48-I48</f>
        <v>1581.44</v>
      </c>
      <c r="L48" s="15">
        <v>0</v>
      </c>
      <c r="M48" s="15">
        <v>0</v>
      </c>
      <c r="N48" s="15">
        <f>E48*0.115+175</f>
        <v>1325</v>
      </c>
      <c r="O48" s="15">
        <f>SUM(K48:N48)</f>
        <v>2906.44</v>
      </c>
      <c r="P48" s="18">
        <f>H48-O48</f>
        <v>7093.5599999999995</v>
      </c>
      <c r="Q48" s="10">
        <v>285.52999999999997</v>
      </c>
      <c r="R48" s="10">
        <v>2000</v>
      </c>
      <c r="S48" s="35">
        <f>Q48+R48</f>
        <v>2285.5299999999997</v>
      </c>
    </row>
    <row r="49" spans="2:19" x14ac:dyDescent="0.25">
      <c r="B49" s="2" t="s">
        <v>26</v>
      </c>
      <c r="E49" s="34">
        <f>E48</f>
        <v>10000</v>
      </c>
      <c r="F49" s="34"/>
      <c r="G49" s="34">
        <f>G48</f>
        <v>0</v>
      </c>
      <c r="H49" s="34">
        <f t="shared" ref="H49:S49" si="23">H48</f>
        <v>10000</v>
      </c>
      <c r="I49" s="34">
        <f t="shared" si="23"/>
        <v>0</v>
      </c>
      <c r="J49" s="34">
        <f t="shared" si="23"/>
        <v>1581.44</v>
      </c>
      <c r="K49" s="34">
        <f t="shared" si="23"/>
        <v>1581.44</v>
      </c>
      <c r="L49" s="34">
        <f t="shared" si="23"/>
        <v>0</v>
      </c>
      <c r="M49" s="34">
        <f t="shared" si="23"/>
        <v>0</v>
      </c>
      <c r="N49" s="34">
        <f t="shared" si="23"/>
        <v>1325</v>
      </c>
      <c r="O49" s="34">
        <f t="shared" si="23"/>
        <v>2906.44</v>
      </c>
      <c r="P49" s="34">
        <f t="shared" si="23"/>
        <v>7093.5599999999995</v>
      </c>
      <c r="Q49" s="34">
        <f t="shared" si="23"/>
        <v>285.52999999999997</v>
      </c>
      <c r="R49" s="34">
        <f t="shared" si="23"/>
        <v>2000</v>
      </c>
      <c r="S49" s="34">
        <f t="shared" si="23"/>
        <v>2285.5299999999997</v>
      </c>
    </row>
    <row r="50" spans="2:19" x14ac:dyDescent="0.25">
      <c r="B50" s="2"/>
      <c r="E50" s="15"/>
      <c r="F50" s="15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8"/>
      <c r="R50" s="8"/>
      <c r="S50" s="8"/>
    </row>
    <row r="52" spans="2:19" ht="18.75" x14ac:dyDescent="0.3">
      <c r="D52" s="4" t="s">
        <v>105</v>
      </c>
      <c r="E52" s="17">
        <f>E9+E20+E26+E40+E45+E49</f>
        <v>158954.95000000001</v>
      </c>
      <c r="F52" s="17"/>
      <c r="G52" s="17">
        <f>G9+G20+G26+G40+G45+G49</f>
        <v>0</v>
      </c>
      <c r="H52" s="17">
        <f t="shared" ref="H52:S52" si="24">H9+H20+H26+H40+H45+H49</f>
        <v>158954.95000000001</v>
      </c>
      <c r="I52" s="17">
        <f t="shared" si="24"/>
        <v>274.08999999999997</v>
      </c>
      <c r="J52" s="17">
        <f t="shared" si="24"/>
        <v>19499.7</v>
      </c>
      <c r="K52" s="17">
        <f t="shared" si="24"/>
        <v>19225.61</v>
      </c>
      <c r="L52" s="17">
        <f t="shared" si="24"/>
        <v>0</v>
      </c>
      <c r="M52" s="17">
        <f t="shared" si="24"/>
        <v>0</v>
      </c>
      <c r="N52" s="17">
        <f t="shared" si="24"/>
        <v>20047.61925</v>
      </c>
      <c r="O52" s="17">
        <f t="shared" si="24"/>
        <v>39273.229249999997</v>
      </c>
      <c r="P52" s="17">
        <f t="shared" si="24"/>
        <v>119681.72074999998</v>
      </c>
      <c r="Q52" s="17">
        <f t="shared" si="24"/>
        <v>7020.3799999999992</v>
      </c>
      <c r="R52" s="17">
        <f t="shared" si="24"/>
        <v>31790.989999999998</v>
      </c>
      <c r="S52" s="17">
        <f t="shared" si="24"/>
        <v>38811.370000000003</v>
      </c>
    </row>
    <row r="56" spans="2:19" ht="15.75" thickBot="1" x14ac:dyDescent="0.3">
      <c r="E56" s="89"/>
      <c r="F56" s="89"/>
      <c r="N56" s="89"/>
      <c r="O56" s="89"/>
    </row>
    <row r="58" spans="2:19" x14ac:dyDescent="0.25">
      <c r="E58" s="91" t="s">
        <v>146</v>
      </c>
      <c r="F58" s="91"/>
      <c r="N58" s="91" t="s">
        <v>157</v>
      </c>
      <c r="O58" s="91"/>
    </row>
  </sheetData>
  <mergeCells count="6">
    <mergeCell ref="C3:D3"/>
    <mergeCell ref="E4:S4"/>
    <mergeCell ref="E56:F56"/>
    <mergeCell ref="N56:O56"/>
    <mergeCell ref="E58:F58"/>
    <mergeCell ref="N58:O58"/>
  </mergeCells>
  <pageMargins left="0.70866141732283472" right="0.70866141732283472" top="0.74803149606299213" bottom="0.74803149606299213" header="0.31496062992125984" footer="0.31496062992125984"/>
  <pageSetup paperSize="300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58"/>
  <sheetViews>
    <sheetView topLeftCell="A34" workbookViewId="0">
      <selection activeCell="U7" sqref="U7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9" max="9" width="21" customWidth="1"/>
    <col min="10" max="11" width="0" hidden="1" customWidth="1"/>
    <col min="12" max="12" width="13.42578125" customWidth="1"/>
    <col min="13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3" spans="2:19" ht="18.75" x14ac:dyDescent="0.25">
      <c r="C3" s="86" t="s">
        <v>168</v>
      </c>
      <c r="D3" s="8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.75" thickBot="1" x14ac:dyDescent="0.3"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2:19" ht="58.5" thickTop="1" thickBot="1" x14ac:dyDescent="0.3">
      <c r="B5" s="31" t="s">
        <v>9</v>
      </c>
      <c r="C5" s="32" t="s">
        <v>10</v>
      </c>
      <c r="D5" s="32" t="s">
        <v>0</v>
      </c>
      <c r="E5" s="39" t="s">
        <v>11</v>
      </c>
      <c r="F5" s="39" t="s">
        <v>150</v>
      </c>
      <c r="G5" s="40" t="s">
        <v>169</v>
      </c>
      <c r="H5" s="39" t="s">
        <v>170</v>
      </c>
      <c r="I5" s="39" t="s">
        <v>12</v>
      </c>
      <c r="J5" s="39" t="s">
        <v>107</v>
      </c>
      <c r="K5" s="39" t="s">
        <v>143</v>
      </c>
      <c r="L5" s="39" t="s">
        <v>13</v>
      </c>
      <c r="M5" s="39" t="s">
        <v>171</v>
      </c>
      <c r="N5" s="39" t="s">
        <v>16</v>
      </c>
      <c r="O5" s="39" t="s">
        <v>17</v>
      </c>
      <c r="P5" s="39" t="s">
        <v>72</v>
      </c>
      <c r="Q5" s="32" t="s">
        <v>8</v>
      </c>
      <c r="R5" s="32" t="s">
        <v>18</v>
      </c>
      <c r="S5" s="41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/>
      <c r="H7" s="15"/>
      <c r="I7" s="15">
        <f>E7-G7</f>
        <v>16954.95</v>
      </c>
      <c r="J7" s="15">
        <v>0</v>
      </c>
      <c r="K7" s="15">
        <v>3246.93</v>
      </c>
      <c r="L7" s="15">
        <f>K7-J7</f>
        <v>3246.93</v>
      </c>
      <c r="M7" s="15">
        <v>0</v>
      </c>
      <c r="N7" s="15">
        <f>E7*0.115+296.71</f>
        <v>2246.52925</v>
      </c>
      <c r="O7" s="15">
        <f>SUM(L7:N7)</f>
        <v>5493.4592499999999</v>
      </c>
      <c r="P7" s="18">
        <f>I7-O7</f>
        <v>11461.490750000001</v>
      </c>
      <c r="Q7" s="10">
        <v>328.67</v>
      </c>
      <c r="R7" s="10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/>
      <c r="I8" s="15">
        <f>E8-G8</f>
        <v>4850</v>
      </c>
      <c r="J8" s="15">
        <v>0</v>
      </c>
      <c r="K8" s="15">
        <v>491.69</v>
      </c>
      <c r="L8" s="15">
        <f t="shared" ref="L8" si="0">K8-J8</f>
        <v>491.69</v>
      </c>
      <c r="M8" s="15">
        <v>0</v>
      </c>
      <c r="N8" s="15">
        <f>E8*0.115+84.88</f>
        <v>642.63</v>
      </c>
      <c r="O8" s="15">
        <f>SUM(L8:N8)</f>
        <v>1134.32</v>
      </c>
      <c r="P8" s="18">
        <f>I8-O8</f>
        <v>3715.6800000000003</v>
      </c>
      <c r="Q8" s="10">
        <v>253.58</v>
      </c>
      <c r="R8" s="10">
        <v>970</v>
      </c>
      <c r="S8" s="35">
        <f t="shared" ref="S8" si="1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2">SUM(G7:G8)</f>
        <v>0</v>
      </c>
      <c r="H9" s="34">
        <f t="shared" si="2"/>
        <v>0</v>
      </c>
      <c r="I9" s="34">
        <f t="shared" si="2"/>
        <v>21804.95</v>
      </c>
      <c r="J9" s="34">
        <f t="shared" si="2"/>
        <v>0</v>
      </c>
      <c r="K9" s="34">
        <f t="shared" si="2"/>
        <v>3738.62</v>
      </c>
      <c r="L9" s="34">
        <f t="shared" si="2"/>
        <v>3738.62</v>
      </c>
      <c r="M9" s="34">
        <f t="shared" si="2"/>
        <v>0</v>
      </c>
      <c r="N9" s="34">
        <f t="shared" si="2"/>
        <v>2889.1592500000002</v>
      </c>
      <c r="O9" s="34">
        <f t="shared" si="2"/>
        <v>6627.7792499999996</v>
      </c>
      <c r="P9" s="34">
        <f t="shared" si="2"/>
        <v>15177.170750000001</v>
      </c>
      <c r="Q9" s="34">
        <f t="shared" si="2"/>
        <v>582.25</v>
      </c>
      <c r="R9" s="34">
        <f t="shared" si="2"/>
        <v>4360.99</v>
      </c>
      <c r="S9" s="34">
        <f t="shared" si="2"/>
        <v>4943.24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>
        <f>E12-G12</f>
        <v>10000</v>
      </c>
      <c r="J12" s="15">
        <v>0</v>
      </c>
      <c r="K12" s="15">
        <v>1581.44</v>
      </c>
      <c r="L12" s="15">
        <f>K12-J12</f>
        <v>1581.44</v>
      </c>
      <c r="M12" s="15">
        <v>0</v>
      </c>
      <c r="N12" s="15">
        <f>E12*0.115+175</f>
        <v>1325</v>
      </c>
      <c r="O12" s="15">
        <f>SUM(L12:N12)</f>
        <v>2906.44</v>
      </c>
      <c r="P12" s="18">
        <f>I12-O12</f>
        <v>7093.5599999999995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/>
      <c r="H13" s="19"/>
      <c r="I13" s="15">
        <f>E13-G13</f>
        <v>5350</v>
      </c>
      <c r="J13" s="15">
        <v>0</v>
      </c>
      <c r="K13" s="15">
        <v>588.20000000000005</v>
      </c>
      <c r="L13" s="15">
        <f t="shared" ref="L13:L19" si="3">K13-J13</f>
        <v>588.20000000000005</v>
      </c>
      <c r="M13" s="15">
        <v>0</v>
      </c>
      <c r="N13" s="15">
        <f>E13*0.115+93.74</f>
        <v>708.99</v>
      </c>
      <c r="O13" s="15">
        <f>SUM(L13:N13)</f>
        <v>1297.19</v>
      </c>
      <c r="P13" s="18">
        <f>I13-O13</f>
        <v>4052.81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/>
      <c r="H14" s="3">
        <v>5880.24</v>
      </c>
      <c r="I14" s="15">
        <f>E14+H14-G14</f>
        <v>11230.24</v>
      </c>
      <c r="J14" s="3">
        <v>0</v>
      </c>
      <c r="K14" s="3">
        <v>588.20000000000005</v>
      </c>
      <c r="L14" s="15">
        <f t="shared" si="3"/>
        <v>588.20000000000005</v>
      </c>
      <c r="M14" s="3">
        <v>3000</v>
      </c>
      <c r="N14" s="15">
        <v>0</v>
      </c>
      <c r="O14" s="15">
        <f>L14+M14</f>
        <v>3588.2</v>
      </c>
      <c r="P14" s="18">
        <f>I14-L14-M14</f>
        <v>7642.0399999999991</v>
      </c>
      <c r="Q14" s="27">
        <v>256.68</v>
      </c>
      <c r="R14" s="10">
        <v>0</v>
      </c>
      <c r="S14" s="35">
        <f>Q14+R14</f>
        <v>256.68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>
        <f>E15-G15</f>
        <v>6000</v>
      </c>
      <c r="J15" s="15">
        <v>0</v>
      </c>
      <c r="K15" s="15">
        <v>727.04</v>
      </c>
      <c r="L15" s="15">
        <f t="shared" si="3"/>
        <v>727.04</v>
      </c>
      <c r="M15" s="15">
        <v>0</v>
      </c>
      <c r="N15" s="15">
        <f>E15*0.115</f>
        <v>690</v>
      </c>
      <c r="O15" s="15">
        <f>SUM(L15:N15)</f>
        <v>1417.04</v>
      </c>
      <c r="P15" s="18">
        <f>I15-O15</f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/>
      <c r="H16" s="15"/>
      <c r="I16" s="15">
        <f>E16-G16</f>
        <v>4500</v>
      </c>
      <c r="J16" s="15">
        <v>0</v>
      </c>
      <c r="K16" s="15">
        <v>428.97</v>
      </c>
      <c r="L16" s="15">
        <f t="shared" si="3"/>
        <v>428.97</v>
      </c>
      <c r="M16" s="15">
        <v>0</v>
      </c>
      <c r="N16" s="15">
        <f>E16*0.115+87.5</f>
        <v>605</v>
      </c>
      <c r="O16" s="15">
        <f>SUM(L16:N16)</f>
        <v>1033.97</v>
      </c>
      <c r="P16" s="18">
        <f>I16-O16</f>
        <v>3466.0299999999997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/>
      <c r="H17" s="15"/>
      <c r="I17" s="15">
        <f>E17-G17</f>
        <v>4500</v>
      </c>
      <c r="J17" s="15">
        <v>0</v>
      </c>
      <c r="K17" s="15">
        <v>428.97</v>
      </c>
      <c r="L17" s="15">
        <f t="shared" si="3"/>
        <v>428.97</v>
      </c>
      <c r="M17" s="15">
        <v>0</v>
      </c>
      <c r="N17" s="15">
        <f>E17*0.115+78.75</f>
        <v>596.25</v>
      </c>
      <c r="O17" s="15">
        <f>SUM(L17:N17)</f>
        <v>1025.22</v>
      </c>
      <c r="P17" s="18">
        <f>I17-O17</f>
        <v>3474.7799999999997</v>
      </c>
      <c r="Q17" s="10">
        <v>251.41</v>
      </c>
      <c r="R17" s="10">
        <v>900</v>
      </c>
      <c r="S17" s="35">
        <f t="shared" ref="S17:S19" si="4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/>
      <c r="H18" s="15"/>
      <c r="I18" s="15">
        <f>E18-G18</f>
        <v>2700</v>
      </c>
      <c r="J18" s="15">
        <v>147.32</v>
      </c>
      <c r="K18" s="15">
        <v>188.33</v>
      </c>
      <c r="L18" s="15">
        <f t="shared" si="3"/>
        <v>41.010000000000019</v>
      </c>
      <c r="M18" s="15">
        <v>0</v>
      </c>
      <c r="N18" s="15">
        <f>E18*0.115+47.25</f>
        <v>357.75</v>
      </c>
      <c r="O18" s="15">
        <f>SUM(L18:N18)</f>
        <v>398.76</v>
      </c>
      <c r="P18" s="18">
        <f>I18-O18</f>
        <v>2301.2399999999998</v>
      </c>
      <c r="Q18" s="10">
        <v>240.25</v>
      </c>
      <c r="R18" s="10">
        <v>540</v>
      </c>
      <c r="S18" s="35">
        <f t="shared" si="4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/>
      <c r="I19" s="15">
        <f>E19-G19</f>
        <v>3150</v>
      </c>
      <c r="J19" s="15">
        <v>126.77</v>
      </c>
      <c r="K19" s="15">
        <v>237.29</v>
      </c>
      <c r="L19" s="15">
        <f t="shared" si="3"/>
        <v>110.52</v>
      </c>
      <c r="M19" s="15">
        <v>0</v>
      </c>
      <c r="N19" s="15">
        <f>E19*0.115</f>
        <v>362.25</v>
      </c>
      <c r="O19" s="15">
        <f>SUM(L19:N19)</f>
        <v>472.77</v>
      </c>
      <c r="P19" s="18">
        <f>I19-O19</f>
        <v>2677.23</v>
      </c>
      <c r="Q19" s="10">
        <v>243.04</v>
      </c>
      <c r="R19" s="10">
        <v>630</v>
      </c>
      <c r="S19" s="35">
        <f t="shared" si="4"/>
        <v>873.04</v>
      </c>
    </row>
    <row r="20" spans="2:19" x14ac:dyDescent="0.25">
      <c r="B20" s="2" t="s">
        <v>26</v>
      </c>
      <c r="C20" s="30"/>
      <c r="D20" s="30"/>
      <c r="E20" s="34">
        <f t="shared" ref="E20:S20" si="5">SUM(E12:E19)</f>
        <v>41550</v>
      </c>
      <c r="F20" s="34"/>
      <c r="G20" s="34">
        <f t="shared" si="5"/>
        <v>0</v>
      </c>
      <c r="H20" s="34">
        <f t="shared" si="5"/>
        <v>5880.24</v>
      </c>
      <c r="I20" s="34">
        <f t="shared" si="5"/>
        <v>47430.239999999998</v>
      </c>
      <c r="J20" s="34">
        <f t="shared" si="5"/>
        <v>274.08999999999997</v>
      </c>
      <c r="K20" s="34">
        <f t="shared" si="5"/>
        <v>4768.4400000000005</v>
      </c>
      <c r="L20" s="34">
        <f t="shared" si="5"/>
        <v>4494.3500000000013</v>
      </c>
      <c r="M20" s="34">
        <f t="shared" si="5"/>
        <v>3000</v>
      </c>
      <c r="N20" s="34">
        <f t="shared" si="5"/>
        <v>4645.24</v>
      </c>
      <c r="O20" s="34">
        <f t="shared" si="5"/>
        <v>12139.589999999998</v>
      </c>
      <c r="P20" s="34">
        <f t="shared" si="5"/>
        <v>35290.649999999994</v>
      </c>
      <c r="Q20" s="34">
        <f t="shared" si="5"/>
        <v>2045.7200000000003</v>
      </c>
      <c r="R20" s="34">
        <f t="shared" si="5"/>
        <v>7240</v>
      </c>
      <c r="S20" s="34">
        <f t="shared" si="5"/>
        <v>9285.7200000000012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15">
        <f>E23-G23</f>
        <v>5350</v>
      </c>
      <c r="J23" s="15">
        <v>0</v>
      </c>
      <c r="K23" s="15">
        <v>588.20000000000005</v>
      </c>
      <c r="L23" s="15">
        <f>K23-J23</f>
        <v>588.20000000000005</v>
      </c>
      <c r="M23" s="15">
        <v>0</v>
      </c>
      <c r="N23" s="15">
        <f>E23*0.115+93.66</f>
        <v>708.91</v>
      </c>
      <c r="O23" s="15">
        <f>SUM(L23:N23)</f>
        <v>1297.1100000000001</v>
      </c>
      <c r="P23" s="18">
        <f>I23-O23</f>
        <v>4052.89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>
        <f>E24-G24</f>
        <v>5350</v>
      </c>
      <c r="J24" s="15">
        <v>0</v>
      </c>
      <c r="K24" s="15">
        <v>588.20000000000005</v>
      </c>
      <c r="L24" s="15">
        <f>K24-J24</f>
        <v>588.20000000000005</v>
      </c>
      <c r="M24" s="15">
        <v>0</v>
      </c>
      <c r="N24" s="15">
        <f>E24*0.115+93.63</f>
        <v>708.88</v>
      </c>
      <c r="O24" s="15">
        <f>SUM(L24:N24)</f>
        <v>1297.08</v>
      </c>
      <c r="P24" s="18">
        <f>I24-O24</f>
        <v>4052.92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>
        <f>E25-G25</f>
        <v>5350</v>
      </c>
      <c r="J25" s="15">
        <v>0</v>
      </c>
      <c r="K25" s="15">
        <v>588.20000000000005</v>
      </c>
      <c r="L25" s="15">
        <f>K25-J25</f>
        <v>588.20000000000005</v>
      </c>
      <c r="M25" s="15">
        <v>0</v>
      </c>
      <c r="N25" s="15">
        <f>E25*0.115</f>
        <v>615.25</v>
      </c>
      <c r="O25" s="15">
        <f>SUM(L25:N25)</f>
        <v>1203.45</v>
      </c>
      <c r="P25" s="18">
        <f>I25-O25</f>
        <v>4146.55</v>
      </c>
      <c r="Q25" s="10">
        <v>256.68</v>
      </c>
      <c r="R25" s="10">
        <v>1070</v>
      </c>
      <c r="S25" s="35">
        <f>Q25+R25</f>
        <v>1326.68</v>
      </c>
    </row>
    <row r="26" spans="2:19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SUM(G23:G25)</f>
        <v>0</v>
      </c>
      <c r="H26" s="34">
        <f>SUM(H23:H25)</f>
        <v>0</v>
      </c>
      <c r="I26" s="34">
        <f t="shared" ref="I26:S26" si="6">SUM(I23:I25)</f>
        <v>16050</v>
      </c>
      <c r="J26" s="34">
        <f t="shared" si="6"/>
        <v>0</v>
      </c>
      <c r="K26" s="34">
        <f t="shared" si="6"/>
        <v>1764.6000000000001</v>
      </c>
      <c r="L26" s="34">
        <f t="shared" si="6"/>
        <v>1764.6000000000001</v>
      </c>
      <c r="M26" s="34">
        <f t="shared" si="6"/>
        <v>0</v>
      </c>
      <c r="N26" s="34">
        <f t="shared" si="6"/>
        <v>2033.04</v>
      </c>
      <c r="O26" s="34">
        <f t="shared" si="6"/>
        <v>3797.6400000000003</v>
      </c>
      <c r="P26" s="34">
        <f t="shared" si="6"/>
        <v>12252.36</v>
      </c>
      <c r="Q26" s="34">
        <f t="shared" si="6"/>
        <v>770.04</v>
      </c>
      <c r="R26" s="34">
        <f t="shared" si="6"/>
        <v>3210</v>
      </c>
      <c r="S26" s="34">
        <f t="shared" si="6"/>
        <v>3980.04</v>
      </c>
    </row>
    <row r="27" spans="2:19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>
        <f t="shared" ref="I29:I39" si="7">E29-G29</f>
        <v>5350</v>
      </c>
      <c r="J29" s="15">
        <v>0</v>
      </c>
      <c r="K29" s="15">
        <v>588.20000000000005</v>
      </c>
      <c r="L29" s="15">
        <f>K29-J29</f>
        <v>588.20000000000005</v>
      </c>
      <c r="M29" s="15">
        <v>0</v>
      </c>
      <c r="N29" s="15">
        <f>E29*0.115+93.65</f>
        <v>708.9</v>
      </c>
      <c r="O29" s="15">
        <f t="shared" ref="O29:O39" si="8">SUM(L29:N29)</f>
        <v>1297.0999999999999</v>
      </c>
      <c r="P29" s="18">
        <f t="shared" ref="P29:P39" si="9">I29-O29</f>
        <v>4052.9</v>
      </c>
      <c r="Q29" s="10">
        <v>256.68</v>
      </c>
      <c r="R29" s="10">
        <v>1070</v>
      </c>
      <c r="S29" s="35">
        <f t="shared" ref="S29:S39" si="10">Q29+R29</f>
        <v>1326.68</v>
      </c>
    </row>
    <row r="30" spans="2:19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>
        <v>5.94</v>
      </c>
      <c r="H30" s="15"/>
      <c r="I30" s="15">
        <f t="shared" si="7"/>
        <v>5344.06</v>
      </c>
      <c r="J30" s="15">
        <v>0</v>
      </c>
      <c r="K30" s="15">
        <v>588.20000000000005</v>
      </c>
      <c r="L30" s="15">
        <f t="shared" ref="L30:L39" si="11">K30-J30</f>
        <v>588.20000000000005</v>
      </c>
      <c r="M30" s="15">
        <v>0</v>
      </c>
      <c r="N30" s="15">
        <f>E30*0.115+93.71</f>
        <v>708.96</v>
      </c>
      <c r="O30" s="15">
        <f t="shared" si="8"/>
        <v>1297.1600000000001</v>
      </c>
      <c r="P30" s="18">
        <f t="shared" si="9"/>
        <v>4046.9000000000005</v>
      </c>
      <c r="Q30" s="10">
        <v>256.68</v>
      </c>
      <c r="R30" s="10">
        <v>1070</v>
      </c>
      <c r="S30" s="35">
        <f t="shared" si="10"/>
        <v>1326.68</v>
      </c>
    </row>
    <row r="31" spans="2:19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15">
        <f t="shared" si="7"/>
        <v>5350</v>
      </c>
      <c r="J31" s="15">
        <v>0</v>
      </c>
      <c r="K31" s="15">
        <v>588.20000000000005</v>
      </c>
      <c r="L31" s="15">
        <f t="shared" si="11"/>
        <v>588.20000000000005</v>
      </c>
      <c r="M31" s="15">
        <v>0</v>
      </c>
      <c r="N31" s="15">
        <f>E31*0.115+99.88</f>
        <v>715.13</v>
      </c>
      <c r="O31" s="15">
        <f t="shared" si="8"/>
        <v>1303.33</v>
      </c>
      <c r="P31" s="18">
        <f t="shared" si="9"/>
        <v>4046.67</v>
      </c>
      <c r="Q31" s="10">
        <v>256.68</v>
      </c>
      <c r="R31" s="10">
        <v>1070</v>
      </c>
      <c r="S31" s="35">
        <f t="shared" si="10"/>
        <v>1326.68</v>
      </c>
    </row>
    <row r="32" spans="2:19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15">
        <f t="shared" si="7"/>
        <v>5350</v>
      </c>
      <c r="J32" s="15">
        <v>0</v>
      </c>
      <c r="K32" s="15">
        <v>588.20000000000005</v>
      </c>
      <c r="L32" s="15">
        <f t="shared" si="11"/>
        <v>588.20000000000005</v>
      </c>
      <c r="M32" s="15">
        <v>0</v>
      </c>
      <c r="N32" s="15">
        <f t="shared" ref="N32:N39" si="12">E32*0.115+93.63</f>
        <v>708.88</v>
      </c>
      <c r="O32" s="15">
        <f t="shared" si="8"/>
        <v>1297.08</v>
      </c>
      <c r="P32" s="18">
        <f t="shared" si="9"/>
        <v>4052.92</v>
      </c>
      <c r="Q32" s="10">
        <v>256.68</v>
      </c>
      <c r="R32" s="10">
        <v>1070</v>
      </c>
      <c r="S32" s="35">
        <f t="shared" si="10"/>
        <v>1326.68</v>
      </c>
    </row>
    <row r="33" spans="2:19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8.49</v>
      </c>
      <c r="H33" s="15"/>
      <c r="I33" s="15">
        <f t="shared" si="7"/>
        <v>5341.51</v>
      </c>
      <c r="J33" s="15">
        <v>0</v>
      </c>
      <c r="K33" s="15">
        <v>588.20000000000005</v>
      </c>
      <c r="L33" s="15">
        <f t="shared" si="11"/>
        <v>588.20000000000005</v>
      </c>
      <c r="M33" s="15">
        <v>0</v>
      </c>
      <c r="N33" s="15">
        <f t="shared" si="12"/>
        <v>708.88</v>
      </c>
      <c r="O33" s="15">
        <f t="shared" si="8"/>
        <v>1297.08</v>
      </c>
      <c r="P33" s="18">
        <f t="shared" si="9"/>
        <v>4044.4300000000003</v>
      </c>
      <c r="Q33" s="10">
        <v>256.68</v>
      </c>
      <c r="R33" s="10">
        <v>1070</v>
      </c>
      <c r="S33" s="35">
        <f t="shared" si="10"/>
        <v>1326.68</v>
      </c>
    </row>
    <row r="34" spans="2:19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5"/>
      <c r="I34" s="15">
        <f t="shared" si="7"/>
        <v>5350</v>
      </c>
      <c r="J34" s="15">
        <v>0</v>
      </c>
      <c r="K34" s="15">
        <v>588.20000000000005</v>
      </c>
      <c r="L34" s="15">
        <f t="shared" si="11"/>
        <v>588.20000000000005</v>
      </c>
      <c r="M34" s="15">
        <v>0</v>
      </c>
      <c r="N34" s="15">
        <f t="shared" si="12"/>
        <v>708.88</v>
      </c>
      <c r="O34" s="15">
        <f t="shared" si="8"/>
        <v>1297.08</v>
      </c>
      <c r="P34" s="18">
        <f t="shared" si="9"/>
        <v>4052.92</v>
      </c>
      <c r="Q34" s="10">
        <v>256.68</v>
      </c>
      <c r="R34" s="10">
        <v>1070</v>
      </c>
      <c r="S34" s="35">
        <f t="shared" si="10"/>
        <v>1326.68</v>
      </c>
    </row>
    <row r="35" spans="2:19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15">
        <f t="shared" si="7"/>
        <v>5350</v>
      </c>
      <c r="J35" s="15">
        <v>0</v>
      </c>
      <c r="K35" s="15">
        <v>588.20000000000005</v>
      </c>
      <c r="L35" s="15">
        <f t="shared" si="11"/>
        <v>588.20000000000005</v>
      </c>
      <c r="M35" s="15">
        <v>0</v>
      </c>
      <c r="N35" s="15">
        <f t="shared" si="12"/>
        <v>708.88</v>
      </c>
      <c r="O35" s="15">
        <f t="shared" si="8"/>
        <v>1297.08</v>
      </c>
      <c r="P35" s="18">
        <f t="shared" si="9"/>
        <v>4052.92</v>
      </c>
      <c r="Q35" s="10">
        <v>256.68</v>
      </c>
      <c r="R35" s="10">
        <v>1070</v>
      </c>
      <c r="S35" s="35">
        <f t="shared" si="10"/>
        <v>1326.68</v>
      </c>
    </row>
    <row r="36" spans="2:19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/>
      <c r="I36" s="15">
        <f t="shared" si="7"/>
        <v>5350</v>
      </c>
      <c r="J36" s="15">
        <v>0</v>
      </c>
      <c r="K36" s="15">
        <v>588.20000000000005</v>
      </c>
      <c r="L36" s="15">
        <f t="shared" si="11"/>
        <v>588.20000000000005</v>
      </c>
      <c r="M36" s="15">
        <v>0</v>
      </c>
      <c r="N36" s="15">
        <f t="shared" si="12"/>
        <v>708.88</v>
      </c>
      <c r="O36" s="15">
        <f t="shared" si="8"/>
        <v>1297.08</v>
      </c>
      <c r="P36" s="18">
        <f t="shared" si="9"/>
        <v>4052.92</v>
      </c>
      <c r="Q36" s="10">
        <v>256.68</v>
      </c>
      <c r="R36" s="10">
        <v>1070</v>
      </c>
      <c r="S36" s="35">
        <f t="shared" si="10"/>
        <v>1326.68</v>
      </c>
    </row>
    <row r="37" spans="2:19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/>
      <c r="I37" s="15">
        <f t="shared" si="7"/>
        <v>5350</v>
      </c>
      <c r="J37" s="15">
        <v>0</v>
      </c>
      <c r="K37" s="15">
        <v>588.20000000000005</v>
      </c>
      <c r="L37" s="15">
        <f t="shared" si="11"/>
        <v>588.20000000000005</v>
      </c>
      <c r="M37" s="15">
        <v>0</v>
      </c>
      <c r="N37" s="15">
        <f t="shared" si="12"/>
        <v>708.88</v>
      </c>
      <c r="O37" s="15">
        <f t="shared" si="8"/>
        <v>1297.08</v>
      </c>
      <c r="P37" s="18">
        <f t="shared" si="9"/>
        <v>4052.92</v>
      </c>
      <c r="Q37" s="10">
        <v>256.68</v>
      </c>
      <c r="R37" s="10">
        <v>1070</v>
      </c>
      <c r="S37" s="35">
        <f t="shared" si="10"/>
        <v>1326.68</v>
      </c>
    </row>
    <row r="38" spans="2:19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/>
      <c r="H38" s="15"/>
      <c r="I38" s="15">
        <f t="shared" si="7"/>
        <v>5350</v>
      </c>
      <c r="J38" s="15">
        <v>0</v>
      </c>
      <c r="K38" s="15">
        <v>588.20000000000005</v>
      </c>
      <c r="L38" s="15">
        <f t="shared" si="11"/>
        <v>588.20000000000005</v>
      </c>
      <c r="M38" s="15">
        <v>0</v>
      </c>
      <c r="N38" s="15">
        <f t="shared" si="12"/>
        <v>708.88</v>
      </c>
      <c r="O38" s="15">
        <f t="shared" si="8"/>
        <v>1297.08</v>
      </c>
      <c r="P38" s="18">
        <f t="shared" si="9"/>
        <v>4052.92</v>
      </c>
      <c r="Q38" s="10">
        <v>256.68</v>
      </c>
      <c r="R38" s="10">
        <v>1070</v>
      </c>
      <c r="S38" s="35">
        <f t="shared" si="10"/>
        <v>1326.68</v>
      </c>
    </row>
    <row r="39" spans="2:19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>
        <f t="shared" si="7"/>
        <v>5350</v>
      </c>
      <c r="J39" s="15">
        <v>0</v>
      </c>
      <c r="K39" s="15">
        <v>588.20000000000005</v>
      </c>
      <c r="L39" s="15">
        <f t="shared" si="11"/>
        <v>588.20000000000005</v>
      </c>
      <c r="M39" s="15">
        <v>0</v>
      </c>
      <c r="N39" s="15">
        <f t="shared" si="12"/>
        <v>708.88</v>
      </c>
      <c r="O39" s="15">
        <f t="shared" si="8"/>
        <v>1297.08</v>
      </c>
      <c r="P39" s="18">
        <f t="shared" si="9"/>
        <v>4052.92</v>
      </c>
      <c r="Q39" s="10">
        <v>256.68</v>
      </c>
      <c r="R39" s="10">
        <v>1070</v>
      </c>
      <c r="S39" s="35">
        <f t="shared" si="10"/>
        <v>1326.68</v>
      </c>
    </row>
    <row r="40" spans="2:19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SUM(G29:G39)</f>
        <v>14.43</v>
      </c>
      <c r="H40" s="34">
        <f>SUM(H29:H39)</f>
        <v>0</v>
      </c>
      <c r="I40" s="34">
        <f>SUM(I29:I39)</f>
        <v>58835.57</v>
      </c>
      <c r="J40" s="34">
        <f t="shared" ref="J40:S40" si="13">SUM(J29:J39)</f>
        <v>0</v>
      </c>
      <c r="K40" s="34">
        <f t="shared" si="13"/>
        <v>6470.1999999999989</v>
      </c>
      <c r="L40" s="34">
        <f t="shared" si="13"/>
        <v>6470.1999999999989</v>
      </c>
      <c r="M40" s="34">
        <f t="shared" si="13"/>
        <v>0</v>
      </c>
      <c r="N40" s="34">
        <f t="shared" si="13"/>
        <v>7804.0300000000007</v>
      </c>
      <c r="O40" s="34">
        <f t="shared" si="13"/>
        <v>14274.23</v>
      </c>
      <c r="P40" s="34">
        <f t="shared" si="13"/>
        <v>44561.339999999989</v>
      </c>
      <c r="Q40" s="34">
        <f t="shared" si="13"/>
        <v>2823.4799999999996</v>
      </c>
      <c r="R40" s="34">
        <f t="shared" si="13"/>
        <v>11770</v>
      </c>
      <c r="S40" s="34">
        <f t="shared" si="13"/>
        <v>14593.480000000001</v>
      </c>
    </row>
    <row r="41" spans="2:19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9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15">
        <f>E43-G43</f>
        <v>5350</v>
      </c>
      <c r="J43" s="15">
        <v>0</v>
      </c>
      <c r="K43" s="15">
        <v>588.20000000000005</v>
      </c>
      <c r="L43" s="15">
        <f>K43-J43</f>
        <v>588.20000000000005</v>
      </c>
      <c r="M43" s="15">
        <v>0</v>
      </c>
      <c r="N43" s="15">
        <f>I43*0.115+101.23</f>
        <v>716.48</v>
      </c>
      <c r="O43" s="15">
        <f>SUM(L43:N43)</f>
        <v>1304.68</v>
      </c>
      <c r="P43" s="18">
        <f>I43-O43</f>
        <v>4045.3199999999997</v>
      </c>
      <c r="Q43" s="10">
        <v>256.68</v>
      </c>
      <c r="R43" s="10">
        <v>1070</v>
      </c>
      <c r="S43" s="35">
        <f t="shared" ref="S43:S44" si="14">Q43+R43</f>
        <v>1326.68</v>
      </c>
    </row>
    <row r="44" spans="2:19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>
        <f>E44-G44</f>
        <v>5350</v>
      </c>
      <c r="J44" s="15">
        <v>0</v>
      </c>
      <c r="K44" s="15">
        <v>588.20000000000005</v>
      </c>
      <c r="L44" s="15">
        <v>588.20000000000005</v>
      </c>
      <c r="M44" s="15">
        <v>0</v>
      </c>
      <c r="N44" s="15">
        <f>I44*0.115</f>
        <v>615.25</v>
      </c>
      <c r="O44" s="15">
        <f>SUM(L44:N44)</f>
        <v>1203.45</v>
      </c>
      <c r="P44" s="18">
        <f>I44-O44</f>
        <v>4146.55</v>
      </c>
      <c r="Q44" s="10">
        <v>256.68</v>
      </c>
      <c r="R44" s="10">
        <v>1070</v>
      </c>
      <c r="S44" s="35">
        <f t="shared" si="14"/>
        <v>1326.68</v>
      </c>
    </row>
    <row r="45" spans="2:19" x14ac:dyDescent="0.25">
      <c r="B45" s="2" t="s">
        <v>26</v>
      </c>
      <c r="C45" s="30"/>
      <c r="D45" s="30"/>
      <c r="E45" s="34">
        <f>E43+E44</f>
        <v>10700</v>
      </c>
      <c r="F45" s="34"/>
      <c r="G45" s="34">
        <f>G43+G44</f>
        <v>0</v>
      </c>
      <c r="H45" s="34">
        <f>H43+H44</f>
        <v>0</v>
      </c>
      <c r="I45" s="34">
        <f t="shared" ref="I45:S45" si="15">I43+I44</f>
        <v>10700</v>
      </c>
      <c r="J45" s="34">
        <f t="shared" si="15"/>
        <v>0</v>
      </c>
      <c r="K45" s="34">
        <f t="shared" si="15"/>
        <v>1176.4000000000001</v>
      </c>
      <c r="L45" s="34">
        <f t="shared" si="15"/>
        <v>1176.4000000000001</v>
      </c>
      <c r="M45" s="34">
        <f t="shared" si="15"/>
        <v>0</v>
      </c>
      <c r="N45" s="34">
        <f t="shared" si="15"/>
        <v>1331.73</v>
      </c>
      <c r="O45" s="34">
        <f t="shared" si="15"/>
        <v>2508.13</v>
      </c>
      <c r="P45" s="34">
        <f t="shared" si="15"/>
        <v>8191.87</v>
      </c>
      <c r="Q45" s="34">
        <f t="shared" si="15"/>
        <v>513.36</v>
      </c>
      <c r="R45" s="34">
        <f t="shared" si="15"/>
        <v>2140</v>
      </c>
      <c r="S45" s="34">
        <f t="shared" si="15"/>
        <v>2653.36</v>
      </c>
    </row>
    <row r="46" spans="2:19" x14ac:dyDescent="0.25">
      <c r="B46" s="2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s="2" t="s">
        <v>161</v>
      </c>
      <c r="C47" s="2" t="s">
        <v>162</v>
      </c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8"/>
      <c r="R47" s="8"/>
      <c r="S47" s="8"/>
    </row>
    <row r="48" spans="2:19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>
        <f>E48-G48</f>
        <v>10000</v>
      </c>
      <c r="J48" s="15">
        <v>0</v>
      </c>
      <c r="K48" s="15">
        <v>1581.44</v>
      </c>
      <c r="L48" s="15">
        <f>K48-J48</f>
        <v>1581.44</v>
      </c>
      <c r="M48" s="15">
        <v>0</v>
      </c>
      <c r="N48" s="15">
        <f>E48*0.115+175</f>
        <v>1325</v>
      </c>
      <c r="O48" s="15">
        <f>SUM(L48:N48)</f>
        <v>2906.44</v>
      </c>
      <c r="P48" s="18">
        <f>I48-O48</f>
        <v>7093.5599999999995</v>
      </c>
      <c r="Q48" s="10">
        <v>285.52999999999997</v>
      </c>
      <c r="R48" s="10">
        <v>2000</v>
      </c>
      <c r="S48" s="35">
        <f>Q48+R48</f>
        <v>2285.5299999999997</v>
      </c>
    </row>
    <row r="49" spans="2:19" x14ac:dyDescent="0.25">
      <c r="B49" s="2" t="s">
        <v>26</v>
      </c>
      <c r="E49" s="34">
        <f>E48</f>
        <v>10000</v>
      </c>
      <c r="F49" s="34"/>
      <c r="G49" s="34">
        <f>G48</f>
        <v>0</v>
      </c>
      <c r="H49" s="34">
        <f>H48</f>
        <v>0</v>
      </c>
      <c r="I49" s="34">
        <f t="shared" ref="I49:S49" si="16">I48</f>
        <v>10000</v>
      </c>
      <c r="J49" s="34">
        <f t="shared" si="16"/>
        <v>0</v>
      </c>
      <c r="K49" s="34">
        <f t="shared" si="16"/>
        <v>1581.44</v>
      </c>
      <c r="L49" s="34">
        <f t="shared" si="16"/>
        <v>1581.44</v>
      </c>
      <c r="M49" s="34">
        <f t="shared" si="16"/>
        <v>0</v>
      </c>
      <c r="N49" s="34">
        <f t="shared" si="16"/>
        <v>1325</v>
      </c>
      <c r="O49" s="34">
        <f t="shared" si="16"/>
        <v>2906.44</v>
      </c>
      <c r="P49" s="34">
        <f t="shared" si="16"/>
        <v>7093.5599999999995</v>
      </c>
      <c r="Q49" s="34">
        <f t="shared" si="16"/>
        <v>285.52999999999997</v>
      </c>
      <c r="R49" s="34">
        <f t="shared" si="16"/>
        <v>2000</v>
      </c>
      <c r="S49" s="34">
        <f t="shared" si="16"/>
        <v>2285.5299999999997</v>
      </c>
    </row>
    <row r="50" spans="2:19" x14ac:dyDescent="0.25">
      <c r="B50" s="2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8"/>
      <c r="R50" s="8"/>
      <c r="S50" s="8"/>
    </row>
    <row r="52" spans="2:19" ht="18.75" x14ac:dyDescent="0.3">
      <c r="D52" s="4" t="s">
        <v>105</v>
      </c>
      <c r="E52" s="17">
        <f>E9+E20+E26+E40+E45+E49</f>
        <v>158954.95000000001</v>
      </c>
      <c r="F52" s="17"/>
      <c r="G52" s="17">
        <f>G9+G20+G26+G40+G45+G49</f>
        <v>14.43</v>
      </c>
      <c r="H52" s="17">
        <f>H9+H20+H26+H40+H45+H49</f>
        <v>5880.24</v>
      </c>
      <c r="I52" s="17">
        <f t="shared" ref="I52:S52" si="17">I9+I20+I26+I40+I45+I49</f>
        <v>164820.76</v>
      </c>
      <c r="J52" s="17">
        <f t="shared" si="17"/>
        <v>274.08999999999997</v>
      </c>
      <c r="K52" s="17">
        <f t="shared" si="17"/>
        <v>19499.7</v>
      </c>
      <c r="L52" s="17">
        <f t="shared" si="17"/>
        <v>19225.61</v>
      </c>
      <c r="M52" s="17">
        <f t="shared" si="17"/>
        <v>3000</v>
      </c>
      <c r="N52" s="17">
        <f t="shared" si="17"/>
        <v>20028.199250000001</v>
      </c>
      <c r="O52" s="17">
        <f t="shared" si="17"/>
        <v>42253.809249999998</v>
      </c>
      <c r="P52" s="17">
        <f t="shared" si="17"/>
        <v>122566.95074999999</v>
      </c>
      <c r="Q52" s="17">
        <f t="shared" si="17"/>
        <v>7020.3799999999992</v>
      </c>
      <c r="R52" s="17">
        <f t="shared" si="17"/>
        <v>30720.989999999998</v>
      </c>
      <c r="S52" s="17">
        <f t="shared" si="17"/>
        <v>37741.370000000003</v>
      </c>
    </row>
    <row r="56" spans="2:19" ht="15.75" thickBot="1" x14ac:dyDescent="0.3">
      <c r="E56" s="89"/>
      <c r="F56" s="89"/>
      <c r="N56" s="89"/>
      <c r="O56" s="89"/>
    </row>
    <row r="58" spans="2:19" x14ac:dyDescent="0.25">
      <c r="E58" s="91" t="s">
        <v>146</v>
      </c>
      <c r="F58" s="91"/>
      <c r="N58" s="91" t="s">
        <v>157</v>
      </c>
      <c r="O58" s="91"/>
    </row>
  </sheetData>
  <mergeCells count="6">
    <mergeCell ref="C3:D3"/>
    <mergeCell ref="E4:S4"/>
    <mergeCell ref="E56:F56"/>
    <mergeCell ref="N56:O56"/>
    <mergeCell ref="E58:F58"/>
    <mergeCell ref="N58:O58"/>
  </mergeCells>
  <pageMargins left="0.70866141732283472" right="0.70866141732283472" top="0.74803149606299213" bottom="0.74803149606299213" header="0.31496062992125984" footer="0.31496062992125984"/>
  <pageSetup paperSize="300" scale="4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62"/>
  <sheetViews>
    <sheetView topLeftCell="A7" workbookViewId="0">
      <selection activeCell="C2" sqref="C2"/>
    </sheetView>
  </sheetViews>
  <sheetFormatPr baseColWidth="10" defaultRowHeight="15" x14ac:dyDescent="0.25"/>
  <cols>
    <col min="1" max="1" width="0.7109375" customWidth="1"/>
    <col min="2" max="2" width="16.5703125" customWidth="1"/>
    <col min="3" max="3" width="34.140625" customWidth="1"/>
    <col min="4" max="4" width="29.28515625" customWidth="1"/>
    <col min="5" max="5" width="18.42578125" customWidth="1"/>
    <col min="8" max="8" width="11.42578125" customWidth="1"/>
    <col min="9" max="9" width="21" customWidth="1"/>
    <col min="10" max="10" width="11.42578125" customWidth="1"/>
    <col min="11" max="11" width="12.85546875" customWidth="1"/>
    <col min="12" max="12" width="13.42578125" customWidth="1"/>
    <col min="13" max="13" width="11.42578125" hidden="1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3" spans="2:19" ht="18.75" x14ac:dyDescent="0.25">
      <c r="C3" s="86" t="s">
        <v>173</v>
      </c>
      <c r="D3" s="8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.75" thickBot="1" x14ac:dyDescent="0.3"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2:19" ht="58.5" thickTop="1" thickBot="1" x14ac:dyDescent="0.3">
      <c r="B5" s="31" t="s">
        <v>9</v>
      </c>
      <c r="C5" s="32" t="s">
        <v>10</v>
      </c>
      <c r="D5" s="32" t="s">
        <v>0</v>
      </c>
      <c r="E5" s="39" t="s">
        <v>11</v>
      </c>
      <c r="F5" s="39" t="s">
        <v>150</v>
      </c>
      <c r="G5" s="40" t="s">
        <v>169</v>
      </c>
      <c r="H5" s="39" t="s">
        <v>170</v>
      </c>
      <c r="I5" s="39" t="s">
        <v>12</v>
      </c>
      <c r="J5" s="39" t="s">
        <v>107</v>
      </c>
      <c r="K5" s="39" t="s">
        <v>143</v>
      </c>
      <c r="L5" s="39" t="s">
        <v>13</v>
      </c>
      <c r="M5" s="39" t="s">
        <v>171</v>
      </c>
      <c r="N5" s="39" t="s">
        <v>16</v>
      </c>
      <c r="O5" s="39" t="s">
        <v>17</v>
      </c>
      <c r="P5" s="39" t="s">
        <v>72</v>
      </c>
      <c r="Q5" s="32" t="s">
        <v>8</v>
      </c>
      <c r="R5" s="32" t="s">
        <v>18</v>
      </c>
      <c r="S5" s="41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20">
        <v>16954.95</v>
      </c>
      <c r="F7" s="29">
        <v>15</v>
      </c>
      <c r="G7" s="15"/>
      <c r="H7" s="15"/>
      <c r="I7" s="15">
        <f>E7-G7</f>
        <v>16954.95</v>
      </c>
      <c r="J7" s="15">
        <v>0</v>
      </c>
      <c r="K7" s="15">
        <v>3246.93</v>
      </c>
      <c r="L7" s="15">
        <f>K7-J7</f>
        <v>3246.93</v>
      </c>
      <c r="M7" s="15">
        <v>0</v>
      </c>
      <c r="N7" s="15">
        <f>E7*0.115+296.71</f>
        <v>2246.52925</v>
      </c>
      <c r="O7" s="15">
        <f>SUM(L7:N7)</f>
        <v>5493.4592499999999</v>
      </c>
      <c r="P7" s="18">
        <f>I7-O7</f>
        <v>11461.490750000001</v>
      </c>
      <c r="Q7" s="10">
        <v>328.67</v>
      </c>
      <c r="R7" s="10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/>
      <c r="I8" s="15">
        <f>E8-G8</f>
        <v>4850</v>
      </c>
      <c r="J8" s="15">
        <v>0</v>
      </c>
      <c r="K8" s="15">
        <v>491.69</v>
      </c>
      <c r="L8" s="15">
        <f>K8-J8</f>
        <v>491.69</v>
      </c>
      <c r="M8" s="15">
        <v>0</v>
      </c>
      <c r="N8" s="15">
        <f>E8*0.115+84.88</f>
        <v>642.63</v>
      </c>
      <c r="O8" s="15">
        <f>SUM(L8:N8)</f>
        <v>1134.32</v>
      </c>
      <c r="P8" s="18">
        <f>I8-O8</f>
        <v>3715.6800000000003</v>
      </c>
      <c r="Q8" s="10">
        <v>253.58</v>
      </c>
      <c r="R8" s="10">
        <v>970</v>
      </c>
      <c r="S8" s="35">
        <f t="shared" ref="S8" si="0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1">SUM(G7:G8)</f>
        <v>0</v>
      </c>
      <c r="H9" s="34">
        <f t="shared" si="1"/>
        <v>0</v>
      </c>
      <c r="I9" s="34">
        <f t="shared" si="1"/>
        <v>21804.95</v>
      </c>
      <c r="J9" s="34">
        <f t="shared" si="1"/>
        <v>0</v>
      </c>
      <c r="K9" s="34">
        <f t="shared" si="1"/>
        <v>3738.62</v>
      </c>
      <c r="L9" s="34">
        <f t="shared" si="1"/>
        <v>3738.62</v>
      </c>
      <c r="M9" s="34">
        <f t="shared" si="1"/>
        <v>0</v>
      </c>
      <c r="N9" s="34">
        <f t="shared" si="1"/>
        <v>2889.1592500000002</v>
      </c>
      <c r="O9" s="34">
        <f t="shared" si="1"/>
        <v>6627.7792499999996</v>
      </c>
      <c r="P9" s="34">
        <f t="shared" si="1"/>
        <v>15177.170750000001</v>
      </c>
      <c r="Q9" s="34">
        <f t="shared" si="1"/>
        <v>582.25</v>
      </c>
      <c r="R9" s="34">
        <f t="shared" si="1"/>
        <v>4360.99</v>
      </c>
      <c r="S9" s="34">
        <f t="shared" si="1"/>
        <v>4943.24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>
        <f>E12-G12</f>
        <v>10000</v>
      </c>
      <c r="J12" s="15">
        <v>0</v>
      </c>
      <c r="K12" s="15">
        <v>1581.44</v>
      </c>
      <c r="L12" s="15">
        <f>K12-J12</f>
        <v>1581.44</v>
      </c>
      <c r="M12" s="15">
        <v>0</v>
      </c>
      <c r="N12" s="15">
        <f>E12*0.115+175</f>
        <v>1325</v>
      </c>
      <c r="O12" s="15">
        <f>SUM(L12:N12)</f>
        <v>2906.44</v>
      </c>
      <c r="P12" s="18">
        <f>I12-O12</f>
        <v>7093.5599999999995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6.79</v>
      </c>
      <c r="H13" s="19"/>
      <c r="I13" s="15">
        <f>E13-G13</f>
        <v>5343.21</v>
      </c>
      <c r="J13" s="15">
        <v>0</v>
      </c>
      <c r="K13" s="15">
        <v>586.75</v>
      </c>
      <c r="L13" s="15">
        <f t="shared" ref="L13:L19" si="2">K13-J13</f>
        <v>586.75</v>
      </c>
      <c r="M13" s="15">
        <v>0</v>
      </c>
      <c r="N13" s="15">
        <f>E13*0.115+93.74</f>
        <v>708.99</v>
      </c>
      <c r="O13" s="15">
        <f>SUM(L13:N13)</f>
        <v>1295.74</v>
      </c>
      <c r="P13" s="18">
        <f>I13-O13</f>
        <v>4047.4700000000003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0</v>
      </c>
      <c r="F14" s="29">
        <v>0</v>
      </c>
      <c r="G14" s="3"/>
      <c r="H14" s="3"/>
      <c r="I14" s="15">
        <f>E14+H14-G14</f>
        <v>0</v>
      </c>
      <c r="J14" s="3">
        <v>0</v>
      </c>
      <c r="K14" s="3">
        <v>588.20000000000005</v>
      </c>
      <c r="L14" s="15">
        <v>0</v>
      </c>
      <c r="M14" s="3"/>
      <c r="N14" s="15">
        <v>0</v>
      </c>
      <c r="O14" s="15">
        <f>L14+M14</f>
        <v>0</v>
      </c>
      <c r="P14" s="18">
        <f>I14-L14-M14</f>
        <v>0</v>
      </c>
      <c r="Q14" s="27">
        <v>0</v>
      </c>
      <c r="R14" s="10">
        <v>0</v>
      </c>
      <c r="S14" s="35">
        <f>Q14+R14</f>
        <v>0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>
        <f>E15-G15</f>
        <v>6000</v>
      </c>
      <c r="J15" s="15">
        <v>0</v>
      </c>
      <c r="K15" s="15">
        <v>727.04</v>
      </c>
      <c r="L15" s="15">
        <f t="shared" si="2"/>
        <v>727.04</v>
      </c>
      <c r="M15" s="15">
        <v>0</v>
      </c>
      <c r="N15" s="15">
        <f>E15*0.115</f>
        <v>690</v>
      </c>
      <c r="O15" s="15">
        <f>SUM(L15:N15)</f>
        <v>1417.04</v>
      </c>
      <c r="P15" s="18">
        <f>I15-O15</f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/>
      <c r="H16" s="15"/>
      <c r="I16" s="15">
        <f>E16-G16</f>
        <v>4500</v>
      </c>
      <c r="J16" s="15">
        <v>0</v>
      </c>
      <c r="K16" s="15">
        <v>428.97</v>
      </c>
      <c r="L16" s="15">
        <f t="shared" si="2"/>
        <v>428.97</v>
      </c>
      <c r="M16" s="15">
        <v>0</v>
      </c>
      <c r="N16" s="15">
        <f>E16*0.115+87.5</f>
        <v>605</v>
      </c>
      <c r="O16" s="15">
        <f>SUM(L16:N16)</f>
        <v>1033.97</v>
      </c>
      <c r="P16" s="18">
        <f>I16-O16</f>
        <v>3466.0299999999997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14</v>
      </c>
      <c r="G17" s="15">
        <v>300</v>
      </c>
      <c r="H17" s="15"/>
      <c r="I17" s="15">
        <f>E17-G17</f>
        <v>4200</v>
      </c>
      <c r="J17" s="15">
        <v>0</v>
      </c>
      <c r="K17" s="15">
        <v>377.15</v>
      </c>
      <c r="L17" s="15">
        <f t="shared" si="2"/>
        <v>377.15</v>
      </c>
      <c r="M17" s="15">
        <v>0</v>
      </c>
      <c r="N17" s="15">
        <f>E17*0.115+78.75</f>
        <v>596.25</v>
      </c>
      <c r="O17" s="15">
        <f>SUM(L17:N17)</f>
        <v>973.4</v>
      </c>
      <c r="P17" s="18">
        <f>I17-O17</f>
        <v>3226.6</v>
      </c>
      <c r="Q17" s="10">
        <v>251.41</v>
      </c>
      <c r="R17" s="10">
        <v>900</v>
      </c>
      <c r="S17" s="35">
        <f t="shared" ref="S17:S19" si="3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/>
      <c r="H18" s="15"/>
      <c r="I18" s="15">
        <f>E18-G18</f>
        <v>2700</v>
      </c>
      <c r="J18" s="15">
        <v>147.32</v>
      </c>
      <c r="K18" s="15">
        <v>188.33</v>
      </c>
      <c r="L18" s="15">
        <f t="shared" si="2"/>
        <v>41.010000000000019</v>
      </c>
      <c r="M18" s="15">
        <v>0</v>
      </c>
      <c r="N18" s="15">
        <f>E18*0.115+47.25</f>
        <v>357.75</v>
      </c>
      <c r="O18" s="15">
        <f>SUM(L18:N18)</f>
        <v>398.76</v>
      </c>
      <c r="P18" s="18">
        <f>I18-O18</f>
        <v>2301.2399999999998</v>
      </c>
      <c r="Q18" s="10">
        <v>240.25</v>
      </c>
      <c r="R18" s="10">
        <v>540</v>
      </c>
      <c r="S18" s="35">
        <f t="shared" si="3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/>
      <c r="I19" s="15">
        <f>E19-G19</f>
        <v>3150</v>
      </c>
      <c r="J19" s="15">
        <v>126.77</v>
      </c>
      <c r="K19" s="15">
        <v>237.29</v>
      </c>
      <c r="L19" s="15">
        <f t="shared" si="2"/>
        <v>110.52</v>
      </c>
      <c r="M19" s="15">
        <v>0</v>
      </c>
      <c r="N19" s="15">
        <f>E19*0.115</f>
        <v>362.25</v>
      </c>
      <c r="O19" s="15">
        <f>SUM(L19:N19)</f>
        <v>472.77</v>
      </c>
      <c r="P19" s="18">
        <f>I19-O19</f>
        <v>2677.23</v>
      </c>
      <c r="Q19" s="10">
        <v>243.04</v>
      </c>
      <c r="R19" s="10">
        <v>630</v>
      </c>
      <c r="S19" s="35">
        <f t="shared" si="3"/>
        <v>873.04</v>
      </c>
    </row>
    <row r="20" spans="2:19" x14ac:dyDescent="0.25">
      <c r="B20" s="2" t="s">
        <v>26</v>
      </c>
      <c r="C20" s="30"/>
      <c r="D20" s="30"/>
      <c r="E20" s="34">
        <f t="shared" ref="E20:S20" si="4">SUM(E12:E19)</f>
        <v>36200</v>
      </c>
      <c r="F20" s="34"/>
      <c r="G20" s="34">
        <f t="shared" si="4"/>
        <v>306.79000000000002</v>
      </c>
      <c r="H20" s="34">
        <f t="shared" si="4"/>
        <v>0</v>
      </c>
      <c r="I20" s="34">
        <f t="shared" si="4"/>
        <v>35893.21</v>
      </c>
      <c r="J20" s="34">
        <f t="shared" si="4"/>
        <v>274.08999999999997</v>
      </c>
      <c r="K20" s="34">
        <f t="shared" si="4"/>
        <v>4715.17</v>
      </c>
      <c r="L20" s="34">
        <f t="shared" si="4"/>
        <v>3852.88</v>
      </c>
      <c r="M20" s="34">
        <f t="shared" si="4"/>
        <v>0</v>
      </c>
      <c r="N20" s="34">
        <f t="shared" si="4"/>
        <v>4645.24</v>
      </c>
      <c r="O20" s="34">
        <f t="shared" si="4"/>
        <v>8498.1200000000008</v>
      </c>
      <c r="P20" s="34">
        <f t="shared" si="4"/>
        <v>27395.089999999993</v>
      </c>
      <c r="Q20" s="34">
        <f t="shared" si="4"/>
        <v>1789.0400000000002</v>
      </c>
      <c r="R20" s="34">
        <f t="shared" si="4"/>
        <v>7240</v>
      </c>
      <c r="S20" s="34">
        <f t="shared" si="4"/>
        <v>9029.0400000000009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13</v>
      </c>
      <c r="G23" s="15">
        <f>356.66*2</f>
        <v>713.32</v>
      </c>
      <c r="H23" s="15"/>
      <c r="I23" s="15">
        <f>E23-G23</f>
        <v>4636.68</v>
      </c>
      <c r="J23" s="15">
        <v>0</v>
      </c>
      <c r="K23" s="15">
        <v>453.47</v>
      </c>
      <c r="L23" s="15">
        <f>K23-J23</f>
        <v>453.47</v>
      </c>
      <c r="M23" s="15">
        <v>0</v>
      </c>
      <c r="N23" s="15">
        <f>E23*0.115+93.66</f>
        <v>708.91</v>
      </c>
      <c r="O23" s="15">
        <f>SUM(L23:N23)</f>
        <v>1162.3800000000001</v>
      </c>
      <c r="P23" s="18">
        <f>I23-O23</f>
        <v>3474.3</v>
      </c>
      <c r="Q23" s="10">
        <v>256.68</v>
      </c>
      <c r="R23" s="10">
        <v>1070</v>
      </c>
      <c r="S23" s="35">
        <f>Q23+R23</f>
        <v>1326.68</v>
      </c>
    </row>
    <row r="24" spans="2:19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>
        <f>E24-G24</f>
        <v>5350</v>
      </c>
      <c r="J24" s="15">
        <v>0</v>
      </c>
      <c r="K24" s="15">
        <v>588.20000000000005</v>
      </c>
      <c r="L24" s="15">
        <f>K24-J24</f>
        <v>588.20000000000005</v>
      </c>
      <c r="M24" s="15">
        <v>0</v>
      </c>
      <c r="N24" s="15">
        <f>E24*0.115+93.63</f>
        <v>708.88</v>
      </c>
      <c r="O24" s="15">
        <f>SUM(L24:N24)</f>
        <v>1297.08</v>
      </c>
      <c r="P24" s="18">
        <f>I24-O24</f>
        <v>4052.92</v>
      </c>
      <c r="Q24" s="10">
        <v>256.68</v>
      </c>
      <c r="R24" s="10">
        <v>1070</v>
      </c>
      <c r="S24" s="35">
        <f>Q24+R24</f>
        <v>1326.68</v>
      </c>
    </row>
    <row r="25" spans="2:19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>
        <f>E25-G25</f>
        <v>5350</v>
      </c>
      <c r="J25" s="15">
        <v>0</v>
      </c>
      <c r="K25" s="15">
        <v>588.20000000000005</v>
      </c>
      <c r="L25" s="15">
        <f>K25-J25</f>
        <v>588.20000000000005</v>
      </c>
      <c r="M25" s="15">
        <v>0</v>
      </c>
      <c r="N25" s="15">
        <f>E25*0.115</f>
        <v>615.25</v>
      </c>
      <c r="O25" s="15">
        <f>SUM(L25:N25)</f>
        <v>1203.45</v>
      </c>
      <c r="P25" s="18">
        <f>I25-O25</f>
        <v>4146.55</v>
      </c>
      <c r="Q25" s="10">
        <v>256.68</v>
      </c>
      <c r="R25" s="10">
        <v>1070</v>
      </c>
      <c r="S25" s="35">
        <f>Q25+R25</f>
        <v>1326.68</v>
      </c>
    </row>
    <row r="26" spans="2:19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SUM(G23:G25)</f>
        <v>713.32</v>
      </c>
      <c r="H26" s="34">
        <f>SUM(H23:H25)</f>
        <v>0</v>
      </c>
      <c r="I26" s="34">
        <f t="shared" ref="I26:S26" si="5">SUM(I23:I25)</f>
        <v>15336.68</v>
      </c>
      <c r="J26" s="34">
        <f t="shared" si="5"/>
        <v>0</v>
      </c>
      <c r="K26" s="34">
        <f t="shared" si="5"/>
        <v>1629.8700000000001</v>
      </c>
      <c r="L26" s="34">
        <f t="shared" si="5"/>
        <v>1629.8700000000001</v>
      </c>
      <c r="M26" s="34">
        <f t="shared" si="5"/>
        <v>0</v>
      </c>
      <c r="N26" s="34">
        <f t="shared" si="5"/>
        <v>2033.04</v>
      </c>
      <c r="O26" s="34">
        <f t="shared" si="5"/>
        <v>3662.91</v>
      </c>
      <c r="P26" s="34">
        <f t="shared" si="5"/>
        <v>11673.77</v>
      </c>
      <c r="Q26" s="34">
        <f t="shared" si="5"/>
        <v>770.04</v>
      </c>
      <c r="R26" s="34">
        <f t="shared" si="5"/>
        <v>3210</v>
      </c>
      <c r="S26" s="34">
        <f t="shared" si="5"/>
        <v>3980.04</v>
      </c>
    </row>
    <row r="27" spans="2:19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>
        <f t="shared" ref="I29:I39" si="6">E29-G29</f>
        <v>5350</v>
      </c>
      <c r="J29" s="15">
        <v>0</v>
      </c>
      <c r="K29" s="15">
        <v>588.20000000000005</v>
      </c>
      <c r="L29" s="15">
        <f>K29-J29</f>
        <v>588.20000000000005</v>
      </c>
      <c r="M29" s="15">
        <v>0</v>
      </c>
      <c r="N29" s="15">
        <f>E29*0.115+93.65</f>
        <v>708.9</v>
      </c>
      <c r="O29" s="15">
        <f t="shared" ref="O29:O39" si="7">SUM(L29:N29)</f>
        <v>1297.0999999999999</v>
      </c>
      <c r="P29" s="18">
        <f t="shared" ref="P29:P39" si="8">I29-O29</f>
        <v>4052.9</v>
      </c>
      <c r="Q29" s="10">
        <v>256.68</v>
      </c>
      <c r="R29" s="10">
        <v>1070</v>
      </c>
      <c r="S29" s="35">
        <f t="shared" ref="S29:S39" si="9">Q29+R29</f>
        <v>1326.68</v>
      </c>
    </row>
    <row r="30" spans="2:19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>
        <v>3.4</v>
      </c>
      <c r="H30" s="15"/>
      <c r="I30" s="15">
        <f t="shared" si="6"/>
        <v>5346.6</v>
      </c>
      <c r="J30" s="15">
        <v>0</v>
      </c>
      <c r="K30" s="15">
        <v>587.48</v>
      </c>
      <c r="L30" s="15">
        <f t="shared" ref="L30:L39" si="10">K30-J30</f>
        <v>587.48</v>
      </c>
      <c r="M30" s="15">
        <v>0</v>
      </c>
      <c r="N30" s="15">
        <f>E30*0.115+93.71</f>
        <v>708.96</v>
      </c>
      <c r="O30" s="15">
        <f t="shared" si="7"/>
        <v>1296.44</v>
      </c>
      <c r="P30" s="18">
        <f t="shared" si="8"/>
        <v>4050.1600000000003</v>
      </c>
      <c r="Q30" s="10">
        <v>256.68</v>
      </c>
      <c r="R30" s="10">
        <v>1070</v>
      </c>
      <c r="S30" s="35">
        <f t="shared" si="9"/>
        <v>1326.68</v>
      </c>
    </row>
    <row r="31" spans="2:19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15">
        <f t="shared" si="6"/>
        <v>5350</v>
      </c>
      <c r="J31" s="15">
        <v>0</v>
      </c>
      <c r="K31" s="15">
        <v>588.20000000000005</v>
      </c>
      <c r="L31" s="15">
        <f t="shared" si="10"/>
        <v>588.20000000000005</v>
      </c>
      <c r="M31" s="15">
        <v>0</v>
      </c>
      <c r="N31" s="15">
        <f>E31*0.115+99.88</f>
        <v>715.13</v>
      </c>
      <c r="O31" s="15">
        <f t="shared" si="7"/>
        <v>1303.33</v>
      </c>
      <c r="P31" s="18">
        <f t="shared" si="8"/>
        <v>4046.67</v>
      </c>
      <c r="Q31" s="10">
        <v>256.68</v>
      </c>
      <c r="R31" s="10">
        <v>1070</v>
      </c>
      <c r="S31" s="35">
        <f t="shared" si="9"/>
        <v>1326.68</v>
      </c>
    </row>
    <row r="32" spans="2:19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15">
        <f t="shared" si="6"/>
        <v>5350</v>
      </c>
      <c r="J32" s="15">
        <v>0</v>
      </c>
      <c r="K32" s="15">
        <v>588.20000000000005</v>
      </c>
      <c r="L32" s="15">
        <f t="shared" si="10"/>
        <v>588.20000000000005</v>
      </c>
      <c r="M32" s="15">
        <v>0</v>
      </c>
      <c r="N32" s="15">
        <f t="shared" ref="N32:N39" si="11">E32*0.115+93.63</f>
        <v>708.88</v>
      </c>
      <c r="O32" s="15">
        <f t="shared" si="7"/>
        <v>1297.08</v>
      </c>
      <c r="P32" s="18">
        <f t="shared" si="8"/>
        <v>4052.92</v>
      </c>
      <c r="Q32" s="10">
        <v>256.68</v>
      </c>
      <c r="R32" s="10">
        <v>1070</v>
      </c>
      <c r="S32" s="35">
        <f t="shared" si="9"/>
        <v>1326.68</v>
      </c>
    </row>
    <row r="33" spans="2:19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0.85</v>
      </c>
      <c r="H33" s="15"/>
      <c r="I33" s="15">
        <f t="shared" si="6"/>
        <v>5349.15</v>
      </c>
      <c r="J33" s="15">
        <v>0</v>
      </c>
      <c r="K33" s="15">
        <v>517.23</v>
      </c>
      <c r="L33" s="15">
        <v>588.02</v>
      </c>
      <c r="M33" s="15">
        <v>0</v>
      </c>
      <c r="N33" s="15">
        <f t="shared" si="11"/>
        <v>708.88</v>
      </c>
      <c r="O33" s="15">
        <f t="shared" si="7"/>
        <v>1296.9000000000001</v>
      </c>
      <c r="P33" s="18">
        <f t="shared" si="8"/>
        <v>4052.2499999999995</v>
      </c>
      <c r="Q33" s="10">
        <v>256.68</v>
      </c>
      <c r="R33" s="10">
        <v>1070</v>
      </c>
      <c r="S33" s="35">
        <f t="shared" si="9"/>
        <v>1326.68</v>
      </c>
    </row>
    <row r="34" spans="2:19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5"/>
      <c r="I34" s="15">
        <f t="shared" si="6"/>
        <v>5350</v>
      </c>
      <c r="J34" s="15">
        <v>0</v>
      </c>
      <c r="K34" s="15">
        <v>588.20000000000005</v>
      </c>
      <c r="L34" s="15">
        <f t="shared" si="10"/>
        <v>588.20000000000005</v>
      </c>
      <c r="M34" s="15">
        <v>0</v>
      </c>
      <c r="N34" s="15">
        <f t="shared" si="11"/>
        <v>708.88</v>
      </c>
      <c r="O34" s="15">
        <f t="shared" si="7"/>
        <v>1297.08</v>
      </c>
      <c r="P34" s="18">
        <f t="shared" si="8"/>
        <v>4052.92</v>
      </c>
      <c r="Q34" s="10">
        <v>256.68</v>
      </c>
      <c r="R34" s="10">
        <v>1070</v>
      </c>
      <c r="S34" s="35">
        <f t="shared" si="9"/>
        <v>1326.68</v>
      </c>
    </row>
    <row r="35" spans="2:19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>
        <v>10.190400000000011</v>
      </c>
      <c r="H35" s="15"/>
      <c r="I35" s="15">
        <f t="shared" si="6"/>
        <v>5339.8095999999996</v>
      </c>
      <c r="J35" s="15">
        <v>0</v>
      </c>
      <c r="K35" s="15">
        <v>586.03</v>
      </c>
      <c r="L35" s="15">
        <f t="shared" si="10"/>
        <v>586.03</v>
      </c>
      <c r="M35" s="15">
        <v>0</v>
      </c>
      <c r="N35" s="15">
        <f t="shared" si="11"/>
        <v>708.88</v>
      </c>
      <c r="O35" s="15">
        <f t="shared" si="7"/>
        <v>1294.9099999999999</v>
      </c>
      <c r="P35" s="18">
        <f t="shared" si="8"/>
        <v>4044.8995999999997</v>
      </c>
      <c r="Q35" s="10">
        <v>256.68</v>
      </c>
      <c r="R35" s="10">
        <v>1070</v>
      </c>
      <c r="S35" s="35">
        <f t="shared" si="9"/>
        <v>1326.68</v>
      </c>
    </row>
    <row r="36" spans="2:19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/>
      <c r="I36" s="15">
        <f t="shared" si="6"/>
        <v>5350</v>
      </c>
      <c r="J36" s="15">
        <v>0</v>
      </c>
      <c r="K36" s="15">
        <v>588.20000000000005</v>
      </c>
      <c r="L36" s="15">
        <f t="shared" si="10"/>
        <v>588.20000000000005</v>
      </c>
      <c r="M36" s="15">
        <v>0</v>
      </c>
      <c r="N36" s="15">
        <f t="shared" si="11"/>
        <v>708.88</v>
      </c>
      <c r="O36" s="15">
        <f t="shared" si="7"/>
        <v>1297.08</v>
      </c>
      <c r="P36" s="18">
        <f t="shared" si="8"/>
        <v>4052.92</v>
      </c>
      <c r="Q36" s="10">
        <v>256.68</v>
      </c>
      <c r="R36" s="10">
        <v>1070</v>
      </c>
      <c r="S36" s="35">
        <f t="shared" si="9"/>
        <v>1326.68</v>
      </c>
    </row>
    <row r="37" spans="2:19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>
        <v>10.19</v>
      </c>
      <c r="H37" s="15"/>
      <c r="I37" s="15">
        <f t="shared" si="6"/>
        <v>5339.81</v>
      </c>
      <c r="J37" s="15">
        <v>0</v>
      </c>
      <c r="K37" s="15">
        <v>586.03</v>
      </c>
      <c r="L37" s="15">
        <f t="shared" si="10"/>
        <v>586.03</v>
      </c>
      <c r="M37" s="15">
        <v>0</v>
      </c>
      <c r="N37" s="15">
        <f t="shared" si="11"/>
        <v>708.88</v>
      </c>
      <c r="O37" s="15">
        <f t="shared" si="7"/>
        <v>1294.9099999999999</v>
      </c>
      <c r="P37" s="18">
        <f t="shared" si="8"/>
        <v>4044.9000000000005</v>
      </c>
      <c r="Q37" s="10">
        <v>256.68</v>
      </c>
      <c r="R37" s="10">
        <v>1070</v>
      </c>
      <c r="S37" s="35">
        <f t="shared" si="9"/>
        <v>1326.68</v>
      </c>
    </row>
    <row r="38" spans="2:19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/>
      <c r="H38" s="15"/>
      <c r="I38" s="15">
        <f t="shared" si="6"/>
        <v>5350</v>
      </c>
      <c r="J38" s="15">
        <v>0</v>
      </c>
      <c r="K38" s="15">
        <v>588.20000000000005</v>
      </c>
      <c r="L38" s="15">
        <f t="shared" si="10"/>
        <v>588.20000000000005</v>
      </c>
      <c r="M38" s="15">
        <v>0</v>
      </c>
      <c r="N38" s="15">
        <f t="shared" si="11"/>
        <v>708.88</v>
      </c>
      <c r="O38" s="15">
        <f t="shared" si="7"/>
        <v>1297.08</v>
      </c>
      <c r="P38" s="18">
        <f t="shared" si="8"/>
        <v>4052.92</v>
      </c>
      <c r="Q38" s="10">
        <v>256.68</v>
      </c>
      <c r="R38" s="10">
        <v>1070</v>
      </c>
      <c r="S38" s="35">
        <f t="shared" si="9"/>
        <v>1326.68</v>
      </c>
    </row>
    <row r="39" spans="2:19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>
        <f t="shared" si="6"/>
        <v>5350</v>
      </c>
      <c r="J39" s="15">
        <v>0</v>
      </c>
      <c r="K39" s="15">
        <v>588.20000000000005</v>
      </c>
      <c r="L39" s="15">
        <f t="shared" si="10"/>
        <v>588.20000000000005</v>
      </c>
      <c r="M39" s="15">
        <v>0</v>
      </c>
      <c r="N39" s="15">
        <f t="shared" si="11"/>
        <v>708.88</v>
      </c>
      <c r="O39" s="15">
        <f t="shared" si="7"/>
        <v>1297.08</v>
      </c>
      <c r="P39" s="18">
        <f t="shared" si="8"/>
        <v>4052.92</v>
      </c>
      <c r="Q39" s="10">
        <v>256.68</v>
      </c>
      <c r="R39" s="10">
        <v>1070</v>
      </c>
      <c r="S39" s="35">
        <f t="shared" si="9"/>
        <v>1326.68</v>
      </c>
    </row>
    <row r="40" spans="2:19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SUM(G29:G39)</f>
        <v>24.630400000000009</v>
      </c>
      <c r="H40" s="34">
        <f>SUM(H29:H39)</f>
        <v>0</v>
      </c>
      <c r="I40" s="34">
        <f>SUM(I29:I39)</f>
        <v>58825.369599999998</v>
      </c>
      <c r="J40" s="34">
        <f t="shared" ref="J40:S40" si="12">SUM(J29:J39)</f>
        <v>0</v>
      </c>
      <c r="K40" s="34">
        <f t="shared" si="12"/>
        <v>6394.1699999999992</v>
      </c>
      <c r="L40" s="34">
        <f t="shared" si="12"/>
        <v>6464.9599999999991</v>
      </c>
      <c r="M40" s="34">
        <f t="shared" si="12"/>
        <v>0</v>
      </c>
      <c r="N40" s="34">
        <f t="shared" si="12"/>
        <v>7804.0300000000007</v>
      </c>
      <c r="O40" s="34">
        <f t="shared" si="12"/>
        <v>14268.99</v>
      </c>
      <c r="P40" s="34">
        <f t="shared" si="12"/>
        <v>44556.3796</v>
      </c>
      <c r="Q40" s="34">
        <f t="shared" si="12"/>
        <v>2823.4799999999996</v>
      </c>
      <c r="R40" s="34">
        <f t="shared" si="12"/>
        <v>11770</v>
      </c>
      <c r="S40" s="34">
        <f t="shared" si="12"/>
        <v>14593.480000000001</v>
      </c>
    </row>
    <row r="41" spans="2:19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9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>
        <v>9.34</v>
      </c>
      <c r="H43" s="15"/>
      <c r="I43" s="15">
        <f>E43-G43</f>
        <v>5340.66</v>
      </c>
      <c r="J43" s="15">
        <v>0</v>
      </c>
      <c r="K43" s="15">
        <v>586.21</v>
      </c>
      <c r="L43" s="15">
        <f>K43-J43</f>
        <v>586.21</v>
      </c>
      <c r="M43" s="15">
        <v>0</v>
      </c>
      <c r="N43" s="15">
        <f>I43*0.115+101.23</f>
        <v>715.40589999999997</v>
      </c>
      <c r="O43" s="15">
        <f>SUM(L43:N43)</f>
        <v>1301.6159</v>
      </c>
      <c r="P43" s="18">
        <f>I43-O43</f>
        <v>4039.0441000000001</v>
      </c>
      <c r="Q43" s="10">
        <v>256.68</v>
      </c>
      <c r="R43" s="10">
        <v>1070</v>
      </c>
      <c r="S43" s="35">
        <f t="shared" ref="S43:S44" si="13">Q43+R43</f>
        <v>1326.68</v>
      </c>
    </row>
    <row r="44" spans="2:19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>
        <f>E44-G44</f>
        <v>5350</v>
      </c>
      <c r="J44" s="15">
        <v>0</v>
      </c>
      <c r="K44" s="15">
        <v>588.20000000000005</v>
      </c>
      <c r="L44" s="15">
        <v>588.20000000000005</v>
      </c>
      <c r="M44" s="15">
        <v>0</v>
      </c>
      <c r="N44" s="15">
        <f>I44*0.115</f>
        <v>615.25</v>
      </c>
      <c r="O44" s="15">
        <f>SUM(L44:N44)</f>
        <v>1203.45</v>
      </c>
      <c r="P44" s="18">
        <f>I44-O44</f>
        <v>4146.55</v>
      </c>
      <c r="Q44" s="10">
        <v>256.68</v>
      </c>
      <c r="R44" s="10">
        <v>1070</v>
      </c>
      <c r="S44" s="35">
        <f t="shared" si="13"/>
        <v>1326.68</v>
      </c>
    </row>
    <row r="45" spans="2:19" x14ac:dyDescent="0.25">
      <c r="B45" s="2" t="s">
        <v>26</v>
      </c>
      <c r="C45" s="30"/>
      <c r="D45" s="30"/>
      <c r="E45" s="34">
        <f>E43+E44</f>
        <v>10700</v>
      </c>
      <c r="F45" s="34"/>
      <c r="G45" s="34">
        <f>G43+G44</f>
        <v>9.34</v>
      </c>
      <c r="H45" s="34">
        <f>H43+H44</f>
        <v>0</v>
      </c>
      <c r="I45" s="34">
        <f t="shared" ref="I45:S45" si="14">I43+I44</f>
        <v>10690.66</v>
      </c>
      <c r="J45" s="34">
        <f t="shared" si="14"/>
        <v>0</v>
      </c>
      <c r="K45" s="34">
        <f t="shared" si="14"/>
        <v>1174.4100000000001</v>
      </c>
      <c r="L45" s="34">
        <f t="shared" si="14"/>
        <v>1174.4100000000001</v>
      </c>
      <c r="M45" s="34">
        <f t="shared" si="14"/>
        <v>0</v>
      </c>
      <c r="N45" s="34">
        <f t="shared" si="14"/>
        <v>1330.6559</v>
      </c>
      <c r="O45" s="34">
        <f t="shared" si="14"/>
        <v>2505.0659000000001</v>
      </c>
      <c r="P45" s="34">
        <f t="shared" si="14"/>
        <v>8185.5941000000003</v>
      </c>
      <c r="Q45" s="34">
        <f t="shared" si="14"/>
        <v>513.36</v>
      </c>
      <c r="R45" s="34">
        <f t="shared" si="14"/>
        <v>2140</v>
      </c>
      <c r="S45" s="34">
        <f t="shared" si="14"/>
        <v>2653.36</v>
      </c>
    </row>
    <row r="46" spans="2:19" x14ac:dyDescent="0.25">
      <c r="B46" s="2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s="2" t="s">
        <v>161</v>
      </c>
      <c r="C47" s="2" t="s">
        <v>162</v>
      </c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8"/>
      <c r="R47" s="8"/>
      <c r="S47" s="8"/>
    </row>
    <row r="48" spans="2:19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>
        <f>E48-G48</f>
        <v>10000</v>
      </c>
      <c r="J48" s="15">
        <v>0</v>
      </c>
      <c r="K48" s="15">
        <v>1581.44</v>
      </c>
      <c r="L48" s="15">
        <f>K48-J48</f>
        <v>1581.44</v>
      </c>
      <c r="M48" s="15">
        <v>0</v>
      </c>
      <c r="N48" s="15">
        <f>E48*0.115+175</f>
        <v>1325</v>
      </c>
      <c r="O48" s="15">
        <f>SUM(L48:N48)</f>
        <v>2906.44</v>
      </c>
      <c r="P48" s="18">
        <f>I48-O48</f>
        <v>7093.5599999999995</v>
      </c>
      <c r="Q48" s="10">
        <v>285.52999999999997</v>
      </c>
      <c r="R48" s="10">
        <v>2000</v>
      </c>
      <c r="S48" s="35">
        <f>Q48+R48</f>
        <v>2285.5299999999997</v>
      </c>
    </row>
    <row r="49" spans="2:19" x14ac:dyDescent="0.25">
      <c r="B49" s="2" t="s">
        <v>26</v>
      </c>
      <c r="E49" s="34">
        <f>E48</f>
        <v>10000</v>
      </c>
      <c r="F49" s="34"/>
      <c r="G49" s="34">
        <f>G48</f>
        <v>0</v>
      </c>
      <c r="H49" s="34">
        <f>H48</f>
        <v>0</v>
      </c>
      <c r="I49" s="34">
        <f t="shared" ref="I49:S49" si="15">I48</f>
        <v>10000</v>
      </c>
      <c r="J49" s="34">
        <f t="shared" si="15"/>
        <v>0</v>
      </c>
      <c r="K49" s="34">
        <f t="shared" si="15"/>
        <v>1581.44</v>
      </c>
      <c r="L49" s="34">
        <f t="shared" si="15"/>
        <v>1581.44</v>
      </c>
      <c r="M49" s="34">
        <f t="shared" si="15"/>
        <v>0</v>
      </c>
      <c r="N49" s="34">
        <f t="shared" si="15"/>
        <v>1325</v>
      </c>
      <c r="O49" s="34">
        <f t="shared" si="15"/>
        <v>2906.44</v>
      </c>
      <c r="P49" s="34">
        <f t="shared" si="15"/>
        <v>7093.5599999999995</v>
      </c>
      <c r="Q49" s="34">
        <f t="shared" si="15"/>
        <v>285.52999999999997</v>
      </c>
      <c r="R49" s="34">
        <f t="shared" si="15"/>
        <v>2000</v>
      </c>
      <c r="S49" s="34">
        <f t="shared" si="15"/>
        <v>2285.5299999999997</v>
      </c>
    </row>
    <row r="50" spans="2:19" x14ac:dyDescent="0.25">
      <c r="B50" s="2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8"/>
      <c r="R50" s="8"/>
      <c r="S50" s="8"/>
    </row>
    <row r="52" spans="2:19" ht="18.75" x14ac:dyDescent="0.3">
      <c r="D52" s="4" t="s">
        <v>105</v>
      </c>
      <c r="E52" s="17">
        <f>E9+E20+E26+E40+E45+E49</f>
        <v>153604.95000000001</v>
      </c>
      <c r="F52" s="17"/>
      <c r="G52" s="17">
        <f>G9+G20+G26+G40+G45+G49</f>
        <v>1054.0804000000001</v>
      </c>
      <c r="H52" s="17">
        <f>H9+H20+H26+H40+H45+H49</f>
        <v>0</v>
      </c>
      <c r="I52" s="17">
        <f t="shared" ref="I52:S52" si="16">I9+I20+I26+I40+I45+I49</f>
        <v>152550.86960000001</v>
      </c>
      <c r="J52" s="17">
        <f t="shared" si="16"/>
        <v>274.08999999999997</v>
      </c>
      <c r="K52" s="17">
        <f t="shared" si="16"/>
        <v>19233.68</v>
      </c>
      <c r="L52" s="17">
        <f t="shared" si="16"/>
        <v>18442.18</v>
      </c>
      <c r="M52" s="17">
        <f t="shared" si="16"/>
        <v>0</v>
      </c>
      <c r="N52" s="17">
        <f t="shared" si="16"/>
        <v>20027.125150000003</v>
      </c>
      <c r="O52" s="17">
        <f t="shared" si="16"/>
        <v>38469.30515</v>
      </c>
      <c r="P52" s="52">
        <f t="shared" si="16"/>
        <v>114081.56444999999</v>
      </c>
      <c r="Q52" s="17">
        <f t="shared" si="16"/>
        <v>6763.6999999999989</v>
      </c>
      <c r="R52" s="17">
        <f t="shared" si="16"/>
        <v>30720.989999999998</v>
      </c>
      <c r="S52" s="17">
        <f t="shared" si="16"/>
        <v>37484.69</v>
      </c>
    </row>
    <row r="56" spans="2:19" ht="15.75" thickBot="1" x14ac:dyDescent="0.3">
      <c r="E56" s="89"/>
      <c r="F56" s="89"/>
      <c r="N56" s="89"/>
      <c r="O56" s="89"/>
    </row>
    <row r="58" spans="2:19" x14ac:dyDescent="0.25">
      <c r="E58" s="91" t="s">
        <v>172</v>
      </c>
      <c r="F58" s="91"/>
      <c r="N58" s="91" t="s">
        <v>157</v>
      </c>
      <c r="O58" s="91"/>
    </row>
    <row r="62" spans="2:19" x14ac:dyDescent="0.25">
      <c r="C62" t="s">
        <v>174</v>
      </c>
    </row>
  </sheetData>
  <autoFilter ref="E3:E62"/>
  <mergeCells count="6">
    <mergeCell ref="C3:D3"/>
    <mergeCell ref="E4:S4"/>
    <mergeCell ref="E56:F56"/>
    <mergeCell ref="N56:O56"/>
    <mergeCell ref="E58:F58"/>
    <mergeCell ref="N58:O5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300" scale="4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9"/>
  <sheetViews>
    <sheetView zoomScale="85" zoomScaleNormal="85" workbookViewId="0">
      <selection activeCell="I21" sqref="I21"/>
    </sheetView>
  </sheetViews>
  <sheetFormatPr baseColWidth="10" defaultRowHeight="15" x14ac:dyDescent="0.25"/>
  <cols>
    <col min="1" max="1" width="0.7109375" customWidth="1"/>
    <col min="2" max="2" width="16.5703125" customWidth="1"/>
    <col min="3" max="3" width="34.140625" customWidth="1"/>
    <col min="4" max="4" width="29.28515625" customWidth="1"/>
    <col min="5" max="5" width="18.42578125" customWidth="1"/>
    <col min="7" max="7" width="10" customWidth="1"/>
    <col min="8" max="8" width="0" hidden="1" customWidth="1"/>
    <col min="9" max="9" width="14.42578125" customWidth="1"/>
    <col min="10" max="10" width="7.5703125" customWidth="1"/>
    <col min="11" max="11" width="7.85546875" customWidth="1"/>
    <col min="12" max="12" width="12.7109375" customWidth="1"/>
    <col min="13" max="13" width="11.42578125" hidden="1" customWidth="1"/>
    <col min="14" max="14" width="12.85546875" customWidth="1"/>
    <col min="15" max="15" width="16.5703125" customWidth="1"/>
    <col min="16" max="16" width="18.28515625" customWidth="1"/>
    <col min="17" max="17" width="16.140625" customWidth="1"/>
    <col min="18" max="18" width="14.85546875" customWidth="1"/>
    <col min="19" max="19" width="17" customWidth="1"/>
  </cols>
  <sheetData>
    <row r="3" spans="2:19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6.5" customHeight="1" x14ac:dyDescent="0.25">
      <c r="B4" s="86" t="s">
        <v>175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2:19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45" t="s">
        <v>169</v>
      </c>
      <c r="H5" s="44" t="s">
        <v>170</v>
      </c>
      <c r="I5" s="44" t="s">
        <v>12</v>
      </c>
      <c r="J5" s="44" t="s">
        <v>107</v>
      </c>
      <c r="K5" s="44" t="s">
        <v>143</v>
      </c>
      <c r="L5" s="44" t="s">
        <v>13</v>
      </c>
      <c r="M5" s="44" t="s">
        <v>171</v>
      </c>
      <c r="N5" s="44" t="s">
        <v>16</v>
      </c>
      <c r="O5" s="44" t="s">
        <v>17</v>
      </c>
      <c r="P5" s="44" t="s">
        <v>72</v>
      </c>
      <c r="Q5" s="43" t="s">
        <v>8</v>
      </c>
      <c r="R5" s="43" t="s">
        <v>18</v>
      </c>
      <c r="S5" s="46" t="s">
        <v>73</v>
      </c>
    </row>
    <row r="6" spans="2:19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/>
      <c r="H7" s="15"/>
      <c r="I7" s="15">
        <f>E7-G7</f>
        <v>16954.95</v>
      </c>
      <c r="J7" s="15">
        <v>0</v>
      </c>
      <c r="K7" s="15">
        <v>3246.93</v>
      </c>
      <c r="L7" s="15">
        <f>K7-J7</f>
        <v>3246.93</v>
      </c>
      <c r="M7" s="15">
        <v>0</v>
      </c>
      <c r="N7" s="15">
        <f>E7*0.115+296.71</f>
        <v>2246.52925</v>
      </c>
      <c r="O7" s="15">
        <f>SUM(L7:N7)</f>
        <v>5493.4592499999999</v>
      </c>
      <c r="P7" s="18">
        <f>I7-O7</f>
        <v>11461.490750000001</v>
      </c>
      <c r="Q7" s="11">
        <v>328.67</v>
      </c>
      <c r="R7" s="11">
        <v>3390.99</v>
      </c>
      <c r="S7" s="35">
        <f>SUM(Q7:R7)</f>
        <v>3719.66</v>
      </c>
    </row>
    <row r="8" spans="2:19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/>
      <c r="H8" s="15"/>
      <c r="I8" s="15">
        <f>E8-G8</f>
        <v>4850</v>
      </c>
      <c r="J8" s="15">
        <v>0</v>
      </c>
      <c r="K8" s="15">
        <v>491.69</v>
      </c>
      <c r="L8" s="15">
        <f t="shared" ref="L8" si="0">K8-J8</f>
        <v>491.69</v>
      </c>
      <c r="M8" s="15">
        <v>0</v>
      </c>
      <c r="N8" s="15">
        <f>E8*0.115+84.88</f>
        <v>642.63</v>
      </c>
      <c r="O8" s="15">
        <f>SUM(L8:N8)</f>
        <v>1134.32</v>
      </c>
      <c r="P8" s="18">
        <f>I8-O8</f>
        <v>3715.6800000000003</v>
      </c>
      <c r="Q8" s="11">
        <v>253.58</v>
      </c>
      <c r="R8" s="11">
        <v>970</v>
      </c>
      <c r="S8" s="35">
        <f t="shared" ref="S8" si="1">SUM(Q8:R8)</f>
        <v>1223.58</v>
      </c>
    </row>
    <row r="9" spans="2:19" x14ac:dyDescent="0.25">
      <c r="B9" s="7" t="s">
        <v>26</v>
      </c>
      <c r="C9" s="30"/>
      <c r="D9" s="30"/>
      <c r="E9" s="34">
        <f>SUM(E7:E8)</f>
        <v>21804.95</v>
      </c>
      <c r="F9" s="34"/>
      <c r="G9" s="34">
        <f t="shared" ref="G9:S9" si="2">SUM(G7:G8)</f>
        <v>0</v>
      </c>
      <c r="H9" s="34">
        <f t="shared" si="2"/>
        <v>0</v>
      </c>
      <c r="I9" s="34">
        <f t="shared" si="2"/>
        <v>21804.95</v>
      </c>
      <c r="J9" s="34">
        <f t="shared" si="2"/>
        <v>0</v>
      </c>
      <c r="K9" s="34">
        <f t="shared" si="2"/>
        <v>3738.62</v>
      </c>
      <c r="L9" s="34">
        <f t="shared" si="2"/>
        <v>3738.62</v>
      </c>
      <c r="M9" s="34">
        <f t="shared" si="2"/>
        <v>0</v>
      </c>
      <c r="N9" s="34">
        <f t="shared" si="2"/>
        <v>2889.1592500000002</v>
      </c>
      <c r="O9" s="34">
        <f t="shared" si="2"/>
        <v>6627.7792499999996</v>
      </c>
      <c r="P9" s="34">
        <f t="shared" si="2"/>
        <v>15177.170750000001</v>
      </c>
      <c r="Q9" s="34">
        <f t="shared" si="2"/>
        <v>582.25</v>
      </c>
      <c r="R9" s="34">
        <f t="shared" si="2"/>
        <v>4360.99</v>
      </c>
      <c r="S9" s="34">
        <f t="shared" si="2"/>
        <v>4943.24</v>
      </c>
    </row>
    <row r="10" spans="2:19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>
        <f t="shared" ref="I12:I18" si="3">E12-G12</f>
        <v>10000</v>
      </c>
      <c r="J12" s="15">
        <v>0</v>
      </c>
      <c r="K12" s="15">
        <v>1581.44</v>
      </c>
      <c r="L12" s="15">
        <f>K12-J12</f>
        <v>1581.44</v>
      </c>
      <c r="M12" s="15">
        <v>0</v>
      </c>
      <c r="N12" s="15">
        <f>E12*0.115+175</f>
        <v>1325</v>
      </c>
      <c r="O12" s="15">
        <f t="shared" ref="O12:O18" si="4">SUM(L12:N12)</f>
        <v>2906.44</v>
      </c>
      <c r="P12" s="18">
        <f t="shared" ref="P12:P18" si="5">I12-O12</f>
        <v>7093.5599999999995</v>
      </c>
      <c r="Q12" s="11">
        <v>285.52999999999997</v>
      </c>
      <c r="R12" s="11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/>
      <c r="H13" s="19"/>
      <c r="I13" s="15">
        <f t="shared" si="3"/>
        <v>5350</v>
      </c>
      <c r="J13" s="15">
        <v>0</v>
      </c>
      <c r="K13" s="15">
        <v>586.75</v>
      </c>
      <c r="L13" s="15">
        <v>588.20000000000005</v>
      </c>
      <c r="M13" s="15">
        <v>0</v>
      </c>
      <c r="N13" s="15">
        <f>E13*0.115+93.74</f>
        <v>708.99</v>
      </c>
      <c r="O13" s="15">
        <f t="shared" si="4"/>
        <v>1297.19</v>
      </c>
      <c r="P13" s="18">
        <f t="shared" si="5"/>
        <v>4052.81</v>
      </c>
      <c r="Q13" s="11">
        <v>256.68</v>
      </c>
      <c r="R13" s="11">
        <v>1070</v>
      </c>
      <c r="S13" s="35">
        <f>Q13+R13</f>
        <v>1326.68</v>
      </c>
    </row>
    <row r="14" spans="2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/>
      <c r="H14" s="15"/>
      <c r="I14" s="15">
        <f t="shared" si="3"/>
        <v>6000</v>
      </c>
      <c r="J14" s="15">
        <v>0</v>
      </c>
      <c r="K14" s="15">
        <v>727.04</v>
      </c>
      <c r="L14" s="15">
        <f t="shared" ref="L14:L18" si="6">K14-J14</f>
        <v>727.04</v>
      </c>
      <c r="M14" s="15">
        <v>0</v>
      </c>
      <c r="N14" s="15">
        <f>E14*0.115</f>
        <v>690</v>
      </c>
      <c r="O14" s="15">
        <f t="shared" si="4"/>
        <v>1417.04</v>
      </c>
      <c r="P14" s="18">
        <f t="shared" si="5"/>
        <v>4582.96</v>
      </c>
      <c r="Q14" s="11">
        <v>260.72000000000003</v>
      </c>
      <c r="R14" s="11">
        <v>1200</v>
      </c>
      <c r="S14" s="35">
        <f>Q14+R14</f>
        <v>1460.72</v>
      </c>
    </row>
    <row r="15" spans="2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/>
      <c r="H15" s="15"/>
      <c r="I15" s="15">
        <f t="shared" si="3"/>
        <v>4500</v>
      </c>
      <c r="J15" s="15">
        <v>0</v>
      </c>
      <c r="K15" s="15">
        <v>428.97</v>
      </c>
      <c r="L15" s="15">
        <f t="shared" si="6"/>
        <v>428.97</v>
      </c>
      <c r="M15" s="15">
        <v>0</v>
      </c>
      <c r="N15" s="15">
        <f>E15*0.115+87.5</f>
        <v>605</v>
      </c>
      <c r="O15" s="15">
        <f t="shared" si="4"/>
        <v>1033.97</v>
      </c>
      <c r="P15" s="18">
        <f t="shared" si="5"/>
        <v>3466.0299999999997</v>
      </c>
      <c r="Q15" s="11">
        <v>251.41</v>
      </c>
      <c r="R15" s="11">
        <v>900</v>
      </c>
      <c r="S15" s="35">
        <f>Q15+R15</f>
        <v>1151.4100000000001</v>
      </c>
    </row>
    <row r="16" spans="2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/>
      <c r="H16" s="15"/>
      <c r="I16" s="15">
        <f t="shared" si="3"/>
        <v>4500</v>
      </c>
      <c r="J16" s="15">
        <v>0</v>
      </c>
      <c r="K16" s="15">
        <v>377.15</v>
      </c>
      <c r="L16" s="15">
        <v>428.97</v>
      </c>
      <c r="M16" s="15">
        <v>0</v>
      </c>
      <c r="N16" s="15">
        <f>E16*0.115+78.75</f>
        <v>596.25</v>
      </c>
      <c r="O16" s="15">
        <f t="shared" si="4"/>
        <v>1025.22</v>
      </c>
      <c r="P16" s="18">
        <f t="shared" si="5"/>
        <v>3474.7799999999997</v>
      </c>
      <c r="Q16" s="11">
        <v>251.41</v>
      </c>
      <c r="R16" s="11">
        <v>900</v>
      </c>
      <c r="S16" s="35">
        <f t="shared" ref="S16:S18" si="7">Q16+R16</f>
        <v>1151.4100000000001</v>
      </c>
    </row>
    <row r="17" spans="2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/>
      <c r="H17" s="15"/>
      <c r="I17" s="15">
        <f t="shared" si="3"/>
        <v>2700</v>
      </c>
      <c r="J17" s="15">
        <v>147.32</v>
      </c>
      <c r="K17" s="15">
        <v>188.33</v>
      </c>
      <c r="L17" s="15">
        <f t="shared" si="6"/>
        <v>41.010000000000019</v>
      </c>
      <c r="M17" s="15">
        <v>0</v>
      </c>
      <c r="N17" s="15">
        <f>E17*0.115+47.25</f>
        <v>357.75</v>
      </c>
      <c r="O17" s="15">
        <f t="shared" si="4"/>
        <v>398.76</v>
      </c>
      <c r="P17" s="18">
        <f t="shared" si="5"/>
        <v>2301.2399999999998</v>
      </c>
      <c r="Q17" s="11">
        <v>240.25</v>
      </c>
      <c r="R17" s="11">
        <v>540</v>
      </c>
      <c r="S17" s="35">
        <f t="shared" si="7"/>
        <v>780.25</v>
      </c>
    </row>
    <row r="18" spans="2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/>
      <c r="H18" s="15"/>
      <c r="I18" s="15">
        <f t="shared" si="3"/>
        <v>3150</v>
      </c>
      <c r="J18" s="15">
        <v>126.77</v>
      </c>
      <c r="K18" s="15">
        <v>237.29</v>
      </c>
      <c r="L18" s="15">
        <f t="shared" si="6"/>
        <v>110.52</v>
      </c>
      <c r="M18" s="15">
        <v>0</v>
      </c>
      <c r="N18" s="15">
        <f>E18*0.115</f>
        <v>362.25</v>
      </c>
      <c r="O18" s="15">
        <f t="shared" si="4"/>
        <v>472.77</v>
      </c>
      <c r="P18" s="18">
        <f t="shared" si="5"/>
        <v>2677.23</v>
      </c>
      <c r="Q18" s="11">
        <v>243.04</v>
      </c>
      <c r="R18" s="11">
        <v>630</v>
      </c>
      <c r="S18" s="35">
        <f t="shared" si="7"/>
        <v>873.04</v>
      </c>
    </row>
    <row r="19" spans="2:19" x14ac:dyDescent="0.25">
      <c r="B19" s="2" t="s">
        <v>26</v>
      </c>
      <c r="C19" s="30"/>
      <c r="D19" s="30"/>
      <c r="E19" s="34">
        <f>SUM(E12:E18)</f>
        <v>36200</v>
      </c>
      <c r="F19" s="34"/>
      <c r="G19" s="34">
        <f t="shared" ref="G19:S19" si="8">SUM(G12:G18)</f>
        <v>0</v>
      </c>
      <c r="H19" s="34">
        <f t="shared" si="8"/>
        <v>0</v>
      </c>
      <c r="I19" s="34">
        <f t="shared" si="8"/>
        <v>36200</v>
      </c>
      <c r="J19" s="34">
        <f t="shared" si="8"/>
        <v>274.08999999999997</v>
      </c>
      <c r="K19" s="34">
        <f t="shared" si="8"/>
        <v>4126.97</v>
      </c>
      <c r="L19" s="34">
        <f t="shared" si="8"/>
        <v>3906.150000000001</v>
      </c>
      <c r="M19" s="34">
        <f t="shared" si="8"/>
        <v>0</v>
      </c>
      <c r="N19" s="34">
        <f t="shared" si="8"/>
        <v>4645.24</v>
      </c>
      <c r="O19" s="34">
        <f t="shared" si="8"/>
        <v>8551.3900000000012</v>
      </c>
      <c r="P19" s="34">
        <f t="shared" si="8"/>
        <v>27648.609999999997</v>
      </c>
      <c r="Q19" s="34">
        <f t="shared" si="8"/>
        <v>1789.0400000000002</v>
      </c>
      <c r="R19" s="34">
        <f t="shared" si="8"/>
        <v>7240</v>
      </c>
      <c r="S19" s="34">
        <f t="shared" si="8"/>
        <v>9029.0400000000009</v>
      </c>
    </row>
    <row r="20" spans="2:19" hidden="1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9" x14ac:dyDescent="0.25">
      <c r="B21" s="2" t="s">
        <v>50</v>
      </c>
      <c r="C21" s="2" t="s">
        <v>160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t="s">
        <v>119</v>
      </c>
      <c r="C22" t="s">
        <v>91</v>
      </c>
      <c r="D22" t="s">
        <v>76</v>
      </c>
      <c r="E22" s="15">
        <v>5350</v>
      </c>
      <c r="F22" s="29">
        <v>15</v>
      </c>
      <c r="G22" s="15"/>
      <c r="H22" s="15"/>
      <c r="I22" s="15">
        <f>E22-G22</f>
        <v>5350</v>
      </c>
      <c r="J22" s="15">
        <v>0</v>
      </c>
      <c r="K22" s="15">
        <v>453.47</v>
      </c>
      <c r="L22" s="15">
        <v>588.20000000000005</v>
      </c>
      <c r="M22" s="15">
        <v>0</v>
      </c>
      <c r="N22" s="15">
        <f>E22*0.115+93.66</f>
        <v>708.91</v>
      </c>
      <c r="O22" s="15">
        <f>SUM(L22:N22)</f>
        <v>1297.1100000000001</v>
      </c>
      <c r="P22" s="18">
        <f>I22-O22</f>
        <v>4052.89</v>
      </c>
      <c r="Q22" s="11">
        <v>256.68</v>
      </c>
      <c r="R22" s="11">
        <v>1070</v>
      </c>
      <c r="S22" s="35">
        <f>Q22+R22</f>
        <v>1326.68</v>
      </c>
    </row>
    <row r="23" spans="2:19" x14ac:dyDescent="0.25">
      <c r="B23" t="s">
        <v>120</v>
      </c>
      <c r="C23" t="s">
        <v>93</v>
      </c>
      <c r="D23" t="s">
        <v>78</v>
      </c>
      <c r="E23" s="15">
        <v>5350</v>
      </c>
      <c r="F23" s="29">
        <v>15</v>
      </c>
      <c r="G23" s="15"/>
      <c r="H23" s="15"/>
      <c r="I23" s="15">
        <f>E23-G23</f>
        <v>5350</v>
      </c>
      <c r="J23" s="15">
        <v>0</v>
      </c>
      <c r="K23" s="15">
        <v>588.20000000000005</v>
      </c>
      <c r="L23" s="15">
        <f>K23-J23</f>
        <v>588.20000000000005</v>
      </c>
      <c r="M23" s="15">
        <v>0</v>
      </c>
      <c r="N23" s="15">
        <f>E23*0.115+93.63</f>
        <v>708.88</v>
      </c>
      <c r="O23" s="15">
        <f>SUM(L23:N23)</f>
        <v>1297.08</v>
      </c>
      <c r="P23" s="18">
        <f>I23-O23</f>
        <v>4052.92</v>
      </c>
      <c r="Q23" s="11">
        <v>256.68</v>
      </c>
      <c r="R23" s="11">
        <v>1070</v>
      </c>
      <c r="S23" s="35">
        <f>Q23+R23</f>
        <v>1326.68</v>
      </c>
    </row>
    <row r="24" spans="2:19" x14ac:dyDescent="0.25">
      <c r="B24" t="s">
        <v>121</v>
      </c>
      <c r="C24" t="s">
        <v>114</v>
      </c>
      <c r="D24" t="s">
        <v>79</v>
      </c>
      <c r="E24" s="15">
        <v>5350</v>
      </c>
      <c r="F24" s="29">
        <v>15</v>
      </c>
      <c r="G24" s="15"/>
      <c r="H24" s="15"/>
      <c r="I24" s="15">
        <f>E24-G24</f>
        <v>5350</v>
      </c>
      <c r="J24" s="15">
        <v>0</v>
      </c>
      <c r="K24" s="15">
        <v>588.20000000000005</v>
      </c>
      <c r="L24" s="15">
        <f>K24-J24</f>
        <v>588.20000000000005</v>
      </c>
      <c r="M24" s="15">
        <v>0</v>
      </c>
      <c r="N24" s="15">
        <f>E24*0.115</f>
        <v>615.25</v>
      </c>
      <c r="O24" s="15">
        <f>SUM(L24:N24)</f>
        <v>1203.45</v>
      </c>
      <c r="P24" s="18">
        <f>I24-O24</f>
        <v>4146.55</v>
      </c>
      <c r="Q24" s="11">
        <v>256.68</v>
      </c>
      <c r="R24" s="11">
        <v>1070</v>
      </c>
      <c r="S24" s="35">
        <f>Q24+R24</f>
        <v>1326.68</v>
      </c>
    </row>
    <row r="25" spans="2:19" x14ac:dyDescent="0.25">
      <c r="B25" s="2" t="s">
        <v>26</v>
      </c>
      <c r="C25" s="30"/>
      <c r="D25" s="30"/>
      <c r="E25" s="34">
        <f>SUM(E22:E24)</f>
        <v>16050</v>
      </c>
      <c r="F25" s="34"/>
      <c r="G25" s="34">
        <f>SUM(G22:G24)</f>
        <v>0</v>
      </c>
      <c r="H25" s="34">
        <f>SUM(H22:H24)</f>
        <v>0</v>
      </c>
      <c r="I25" s="34">
        <f t="shared" ref="I25:S25" si="9">SUM(I22:I24)</f>
        <v>16050</v>
      </c>
      <c r="J25" s="34">
        <f t="shared" si="9"/>
        <v>0</v>
      </c>
      <c r="K25" s="34">
        <f t="shared" si="9"/>
        <v>1629.8700000000001</v>
      </c>
      <c r="L25" s="34">
        <f t="shared" si="9"/>
        <v>1764.6000000000001</v>
      </c>
      <c r="M25" s="34">
        <f t="shared" si="9"/>
        <v>0</v>
      </c>
      <c r="N25" s="34">
        <f t="shared" si="9"/>
        <v>2033.04</v>
      </c>
      <c r="O25" s="34">
        <f t="shared" si="9"/>
        <v>3797.6400000000003</v>
      </c>
      <c r="P25" s="34">
        <f t="shared" si="9"/>
        <v>12252.36</v>
      </c>
      <c r="Q25" s="34">
        <f t="shared" si="9"/>
        <v>770.04</v>
      </c>
      <c r="R25" s="34">
        <f t="shared" si="9"/>
        <v>3210</v>
      </c>
      <c r="S25" s="34">
        <f t="shared" si="9"/>
        <v>3980.04</v>
      </c>
    </row>
    <row r="26" spans="2:19" hidden="1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s="2" t="s">
        <v>63</v>
      </c>
      <c r="C27" s="2" t="s">
        <v>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9" x14ac:dyDescent="0.25">
      <c r="B28" t="s">
        <v>122</v>
      </c>
      <c r="C28" t="s">
        <v>97</v>
      </c>
      <c r="D28" t="s">
        <v>80</v>
      </c>
      <c r="E28" s="15">
        <v>5350</v>
      </c>
      <c r="F28" s="29">
        <v>15</v>
      </c>
      <c r="G28" s="15"/>
      <c r="H28" s="15"/>
      <c r="I28" s="15">
        <f t="shared" ref="I28:I38" si="10">E28-G28</f>
        <v>5350</v>
      </c>
      <c r="J28" s="15">
        <v>0</v>
      </c>
      <c r="K28" s="15">
        <v>588.20000000000005</v>
      </c>
      <c r="L28" s="15">
        <f>K28-J28</f>
        <v>588.20000000000005</v>
      </c>
      <c r="M28" s="15">
        <v>0</v>
      </c>
      <c r="N28" s="15">
        <f>E28*0.115+93.65</f>
        <v>708.9</v>
      </c>
      <c r="O28" s="15">
        <f t="shared" ref="O28:O38" si="11">SUM(L28:N28)</f>
        <v>1297.0999999999999</v>
      </c>
      <c r="P28" s="18">
        <f t="shared" ref="P28:P38" si="12">I28-O28</f>
        <v>4052.9</v>
      </c>
      <c r="Q28" s="11">
        <v>256.68</v>
      </c>
      <c r="R28" s="11">
        <v>1070</v>
      </c>
      <c r="S28" s="35">
        <f t="shared" ref="S28:S38" si="13">Q28+R28</f>
        <v>1326.68</v>
      </c>
    </row>
    <row r="29" spans="2:19" x14ac:dyDescent="0.25">
      <c r="B29" t="s">
        <v>123</v>
      </c>
      <c r="C29" t="s">
        <v>100</v>
      </c>
      <c r="D29" t="s">
        <v>80</v>
      </c>
      <c r="E29" s="15">
        <v>5350</v>
      </c>
      <c r="F29" s="29">
        <v>15</v>
      </c>
      <c r="G29" s="11">
        <v>38.25</v>
      </c>
      <c r="H29" s="20"/>
      <c r="I29" s="20">
        <f t="shared" si="10"/>
        <v>5311.75</v>
      </c>
      <c r="J29" s="20">
        <v>0</v>
      </c>
      <c r="K29" s="20">
        <v>587.48</v>
      </c>
      <c r="L29" s="20">
        <v>580.03</v>
      </c>
      <c r="M29" s="15">
        <v>0</v>
      </c>
      <c r="N29" s="15">
        <f>E29*0.115+93.71</f>
        <v>708.96</v>
      </c>
      <c r="O29" s="15">
        <f t="shared" si="11"/>
        <v>1288.99</v>
      </c>
      <c r="P29" s="18">
        <f t="shared" si="12"/>
        <v>4022.76</v>
      </c>
      <c r="Q29" s="11">
        <v>256.68</v>
      </c>
      <c r="R29" s="11">
        <v>1070</v>
      </c>
      <c r="S29" s="35">
        <f t="shared" si="13"/>
        <v>1326.68</v>
      </c>
    </row>
    <row r="30" spans="2:19" x14ac:dyDescent="0.25">
      <c r="B30" t="s">
        <v>124</v>
      </c>
      <c r="C30" t="s">
        <v>96</v>
      </c>
      <c r="D30" t="s">
        <v>78</v>
      </c>
      <c r="E30" s="15">
        <v>5350</v>
      </c>
      <c r="F30" s="29">
        <v>15</v>
      </c>
      <c r="G30" s="20"/>
      <c r="H30" s="20"/>
      <c r="I30" s="20">
        <f t="shared" si="10"/>
        <v>5350</v>
      </c>
      <c r="J30" s="20">
        <v>0</v>
      </c>
      <c r="K30" s="20">
        <v>588.20000000000005</v>
      </c>
      <c r="L30" s="20">
        <f t="shared" ref="L30:L38" si="14">K30-J30</f>
        <v>588.20000000000005</v>
      </c>
      <c r="M30" s="15">
        <v>0</v>
      </c>
      <c r="N30" s="15">
        <f>E30*0.115+99.88</f>
        <v>715.13</v>
      </c>
      <c r="O30" s="15">
        <f t="shared" si="11"/>
        <v>1303.33</v>
      </c>
      <c r="P30" s="18">
        <f t="shared" si="12"/>
        <v>4046.67</v>
      </c>
      <c r="Q30" s="11">
        <v>256.68</v>
      </c>
      <c r="R30" s="11">
        <v>1070</v>
      </c>
      <c r="S30" s="35">
        <f t="shared" si="13"/>
        <v>1326.68</v>
      </c>
    </row>
    <row r="31" spans="2:19" x14ac:dyDescent="0.25">
      <c r="B31" t="s">
        <v>125</v>
      </c>
      <c r="C31" t="s">
        <v>104</v>
      </c>
      <c r="D31" t="s">
        <v>78</v>
      </c>
      <c r="E31" s="15">
        <v>5350</v>
      </c>
      <c r="F31" s="29">
        <v>15</v>
      </c>
      <c r="G31" s="20"/>
      <c r="H31" s="20"/>
      <c r="I31" s="20">
        <f t="shared" si="10"/>
        <v>5350</v>
      </c>
      <c r="J31" s="20">
        <v>0</v>
      </c>
      <c r="K31" s="20">
        <v>588.20000000000005</v>
      </c>
      <c r="L31" s="20">
        <f t="shared" si="14"/>
        <v>588.20000000000005</v>
      </c>
      <c r="M31" s="15">
        <v>0</v>
      </c>
      <c r="N31" s="15">
        <f t="shared" ref="N31:N38" si="15">E31*0.115+93.63</f>
        <v>708.88</v>
      </c>
      <c r="O31" s="15">
        <f t="shared" si="11"/>
        <v>1297.08</v>
      </c>
      <c r="P31" s="18">
        <f t="shared" si="12"/>
        <v>4052.92</v>
      </c>
      <c r="Q31" s="11">
        <v>256.68</v>
      </c>
      <c r="R31" s="11">
        <v>1070</v>
      </c>
      <c r="S31" s="35">
        <f t="shared" si="13"/>
        <v>1326.68</v>
      </c>
    </row>
    <row r="32" spans="2:19" x14ac:dyDescent="0.25">
      <c r="B32" t="s">
        <v>126</v>
      </c>
      <c r="C32" t="s">
        <v>94</v>
      </c>
      <c r="D32" t="s">
        <v>81</v>
      </c>
      <c r="E32" s="15">
        <v>5350</v>
      </c>
      <c r="F32" s="29">
        <v>15</v>
      </c>
      <c r="G32" s="20">
        <v>0.85</v>
      </c>
      <c r="H32" s="20"/>
      <c r="I32" s="20">
        <f t="shared" si="10"/>
        <v>5349.15</v>
      </c>
      <c r="J32" s="20">
        <v>0</v>
      </c>
      <c r="K32" s="20">
        <v>517.23</v>
      </c>
      <c r="L32" s="20">
        <v>588.02</v>
      </c>
      <c r="M32" s="15">
        <v>0</v>
      </c>
      <c r="N32" s="15">
        <f t="shared" si="15"/>
        <v>708.88</v>
      </c>
      <c r="O32" s="15">
        <f t="shared" si="11"/>
        <v>1296.9000000000001</v>
      </c>
      <c r="P32" s="18">
        <f t="shared" si="12"/>
        <v>4052.2499999999995</v>
      </c>
      <c r="Q32" s="11">
        <v>256.68</v>
      </c>
      <c r="R32" s="11">
        <v>1070</v>
      </c>
      <c r="S32" s="35">
        <f t="shared" si="13"/>
        <v>1326.68</v>
      </c>
    </row>
    <row r="33" spans="2:19" x14ac:dyDescent="0.25">
      <c r="B33" t="s">
        <v>127</v>
      </c>
      <c r="C33" t="s">
        <v>98</v>
      </c>
      <c r="D33" t="s">
        <v>81</v>
      </c>
      <c r="E33" s="15">
        <v>5350</v>
      </c>
      <c r="F33" s="29">
        <v>15</v>
      </c>
      <c r="G33" s="20"/>
      <c r="H33" s="20"/>
      <c r="I33" s="20">
        <f t="shared" si="10"/>
        <v>5350</v>
      </c>
      <c r="J33" s="20">
        <v>0</v>
      </c>
      <c r="K33" s="20">
        <v>588.20000000000005</v>
      </c>
      <c r="L33" s="20">
        <f t="shared" si="14"/>
        <v>588.20000000000005</v>
      </c>
      <c r="M33" s="15">
        <v>0</v>
      </c>
      <c r="N33" s="15">
        <f t="shared" si="15"/>
        <v>708.88</v>
      </c>
      <c r="O33" s="15">
        <f t="shared" si="11"/>
        <v>1297.08</v>
      </c>
      <c r="P33" s="18">
        <f t="shared" si="12"/>
        <v>4052.92</v>
      </c>
      <c r="Q33" s="11">
        <v>256.68</v>
      </c>
      <c r="R33" s="11">
        <v>1070</v>
      </c>
      <c r="S33" s="35">
        <f t="shared" si="13"/>
        <v>1326.68</v>
      </c>
    </row>
    <row r="34" spans="2:19" x14ac:dyDescent="0.25">
      <c r="B34" t="s">
        <v>128</v>
      </c>
      <c r="C34" t="s">
        <v>101</v>
      </c>
      <c r="D34" t="s">
        <v>81</v>
      </c>
      <c r="E34" s="15">
        <v>5350</v>
      </c>
      <c r="F34" s="29">
        <v>15</v>
      </c>
      <c r="G34" s="20">
        <v>0.85</v>
      </c>
      <c r="H34" s="20"/>
      <c r="I34" s="20">
        <f t="shared" si="10"/>
        <v>5349.15</v>
      </c>
      <c r="J34" s="20">
        <v>0</v>
      </c>
      <c r="K34" s="20">
        <v>586.03</v>
      </c>
      <c r="L34" s="20">
        <v>588.02</v>
      </c>
      <c r="M34" s="15">
        <v>0</v>
      </c>
      <c r="N34" s="15">
        <f t="shared" si="15"/>
        <v>708.88</v>
      </c>
      <c r="O34" s="15">
        <f t="shared" si="11"/>
        <v>1296.9000000000001</v>
      </c>
      <c r="P34" s="18">
        <f t="shared" si="12"/>
        <v>4052.2499999999995</v>
      </c>
      <c r="Q34" s="11">
        <v>256.68</v>
      </c>
      <c r="R34" s="11">
        <v>1070</v>
      </c>
      <c r="S34" s="35">
        <f t="shared" si="13"/>
        <v>1326.68</v>
      </c>
    </row>
    <row r="35" spans="2:19" x14ac:dyDescent="0.25">
      <c r="B35" t="s">
        <v>129</v>
      </c>
      <c r="C35" t="s">
        <v>95</v>
      </c>
      <c r="D35" t="s">
        <v>82</v>
      </c>
      <c r="E35" s="15">
        <v>5350</v>
      </c>
      <c r="F35" s="29">
        <v>15</v>
      </c>
      <c r="G35" s="15"/>
      <c r="H35" s="15"/>
      <c r="I35" s="15">
        <f t="shared" si="10"/>
        <v>5350</v>
      </c>
      <c r="J35" s="15">
        <v>0</v>
      </c>
      <c r="K35" s="15">
        <v>588.20000000000005</v>
      </c>
      <c r="L35" s="15">
        <f t="shared" si="14"/>
        <v>588.20000000000005</v>
      </c>
      <c r="M35" s="15">
        <v>0</v>
      </c>
      <c r="N35" s="15">
        <f t="shared" si="15"/>
        <v>708.88</v>
      </c>
      <c r="O35" s="15">
        <f t="shared" si="11"/>
        <v>1297.08</v>
      </c>
      <c r="P35" s="18">
        <f t="shared" si="12"/>
        <v>4052.92</v>
      </c>
      <c r="Q35" s="11">
        <v>256.68</v>
      </c>
      <c r="R35" s="11">
        <v>1070</v>
      </c>
      <c r="S35" s="35">
        <f t="shared" si="13"/>
        <v>1326.68</v>
      </c>
    </row>
    <row r="36" spans="2:19" x14ac:dyDescent="0.25">
      <c r="B36" t="s">
        <v>130</v>
      </c>
      <c r="C36" t="s">
        <v>102</v>
      </c>
      <c r="D36" t="s">
        <v>82</v>
      </c>
      <c r="E36" s="15">
        <v>5350</v>
      </c>
      <c r="F36" s="29">
        <v>15</v>
      </c>
      <c r="G36" s="15"/>
      <c r="H36" s="15"/>
      <c r="I36" s="15">
        <f t="shared" si="10"/>
        <v>5350</v>
      </c>
      <c r="J36" s="15">
        <v>0</v>
      </c>
      <c r="K36" s="15">
        <v>586.03</v>
      </c>
      <c r="L36" s="15">
        <v>588.20000000000005</v>
      </c>
      <c r="M36" s="15">
        <v>0</v>
      </c>
      <c r="N36" s="15">
        <f t="shared" si="15"/>
        <v>708.88</v>
      </c>
      <c r="O36" s="15">
        <f t="shared" si="11"/>
        <v>1297.08</v>
      </c>
      <c r="P36" s="18">
        <f t="shared" si="12"/>
        <v>4052.92</v>
      </c>
      <c r="Q36" s="11">
        <v>256.68</v>
      </c>
      <c r="R36" s="11">
        <v>1070</v>
      </c>
      <c r="S36" s="35">
        <f t="shared" si="13"/>
        <v>1326.68</v>
      </c>
    </row>
    <row r="37" spans="2:19" x14ac:dyDescent="0.25">
      <c r="B37" t="s">
        <v>131</v>
      </c>
      <c r="C37" t="s">
        <v>85</v>
      </c>
      <c r="D37" t="s">
        <v>83</v>
      </c>
      <c r="E37" s="15">
        <v>5350</v>
      </c>
      <c r="F37" s="29">
        <v>15</v>
      </c>
      <c r="G37" s="15"/>
      <c r="H37" s="15"/>
      <c r="I37" s="15">
        <f t="shared" si="10"/>
        <v>5350</v>
      </c>
      <c r="J37" s="15">
        <v>0</v>
      </c>
      <c r="K37" s="15">
        <v>588.20000000000005</v>
      </c>
      <c r="L37" s="15">
        <f t="shared" si="14"/>
        <v>588.20000000000005</v>
      </c>
      <c r="M37" s="15">
        <v>0</v>
      </c>
      <c r="N37" s="15">
        <f t="shared" si="15"/>
        <v>708.88</v>
      </c>
      <c r="O37" s="15">
        <f t="shared" si="11"/>
        <v>1297.08</v>
      </c>
      <c r="P37" s="18">
        <f t="shared" si="12"/>
        <v>4052.92</v>
      </c>
      <c r="Q37" s="11">
        <v>256.68</v>
      </c>
      <c r="R37" s="11">
        <v>1070</v>
      </c>
      <c r="S37" s="35">
        <f t="shared" si="13"/>
        <v>1326.68</v>
      </c>
    </row>
    <row r="38" spans="2:19" x14ac:dyDescent="0.25">
      <c r="B38" t="s">
        <v>132</v>
      </c>
      <c r="C38" t="s">
        <v>103</v>
      </c>
      <c r="D38" t="s">
        <v>83</v>
      </c>
      <c r="E38" s="15">
        <v>5350</v>
      </c>
      <c r="F38" s="29">
        <v>15</v>
      </c>
      <c r="G38" s="15"/>
      <c r="H38" s="15"/>
      <c r="I38" s="15">
        <f t="shared" si="10"/>
        <v>5350</v>
      </c>
      <c r="J38" s="15">
        <v>0</v>
      </c>
      <c r="K38" s="15">
        <v>588.20000000000005</v>
      </c>
      <c r="L38" s="15">
        <f t="shared" si="14"/>
        <v>588.20000000000005</v>
      </c>
      <c r="M38" s="15">
        <v>0</v>
      </c>
      <c r="N38" s="15">
        <f t="shared" si="15"/>
        <v>708.88</v>
      </c>
      <c r="O38" s="15">
        <f t="shared" si="11"/>
        <v>1297.08</v>
      </c>
      <c r="P38" s="18">
        <f t="shared" si="12"/>
        <v>4052.92</v>
      </c>
      <c r="Q38" s="11">
        <v>256.68</v>
      </c>
      <c r="R38" s="11">
        <v>1070</v>
      </c>
      <c r="S38" s="35">
        <f t="shared" si="13"/>
        <v>1326.68</v>
      </c>
    </row>
    <row r="39" spans="2:19" x14ac:dyDescent="0.25">
      <c r="B39" s="2" t="s">
        <v>26</v>
      </c>
      <c r="C39" s="30"/>
      <c r="D39" s="30"/>
      <c r="E39" s="34">
        <f>SUM(E28:E38)</f>
        <v>58850</v>
      </c>
      <c r="F39" s="34"/>
      <c r="G39" s="34">
        <f>SUM(G28:G38)</f>
        <v>39.950000000000003</v>
      </c>
      <c r="H39" s="34">
        <f>SUM(H28:H38)</f>
        <v>0</v>
      </c>
      <c r="I39" s="34">
        <f>SUM(I28:I38)</f>
        <v>58810.05</v>
      </c>
      <c r="J39" s="34">
        <f t="shared" ref="J39:S39" si="16">SUM(J28:J38)</f>
        <v>0</v>
      </c>
      <c r="K39" s="34">
        <f t="shared" si="16"/>
        <v>6394.1699999999992</v>
      </c>
      <c r="L39" s="34">
        <f t="shared" si="16"/>
        <v>6461.67</v>
      </c>
      <c r="M39" s="34">
        <f t="shared" si="16"/>
        <v>0</v>
      </c>
      <c r="N39" s="34">
        <f t="shared" si="16"/>
        <v>7804.0300000000007</v>
      </c>
      <c r="O39" s="34">
        <f t="shared" si="16"/>
        <v>14265.699999999999</v>
      </c>
      <c r="P39" s="34">
        <f t="shared" si="16"/>
        <v>44544.349999999991</v>
      </c>
      <c r="Q39" s="34">
        <f t="shared" si="16"/>
        <v>2823.4799999999996</v>
      </c>
      <c r="R39" s="34">
        <f t="shared" si="16"/>
        <v>11770</v>
      </c>
      <c r="S39" s="34">
        <f t="shared" si="16"/>
        <v>14593.480000000001</v>
      </c>
    </row>
    <row r="40" spans="2:19" hidden="1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9" x14ac:dyDescent="0.25">
      <c r="B41" s="2" t="s">
        <v>140</v>
      </c>
      <c r="C41" s="2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9" x14ac:dyDescent="0.25">
      <c r="B42" t="s">
        <v>133</v>
      </c>
      <c r="C42" t="s">
        <v>99</v>
      </c>
      <c r="D42" t="s">
        <v>80</v>
      </c>
      <c r="E42" s="15">
        <v>5350</v>
      </c>
      <c r="F42" s="29">
        <v>15</v>
      </c>
      <c r="G42" s="20">
        <v>42.5</v>
      </c>
      <c r="H42" s="20"/>
      <c r="I42" s="20">
        <f>E42-G42</f>
        <v>5307.5</v>
      </c>
      <c r="J42" s="20">
        <v>0</v>
      </c>
      <c r="K42" s="20">
        <v>586.21</v>
      </c>
      <c r="L42" s="20">
        <v>579.12</v>
      </c>
      <c r="M42" s="15">
        <v>0</v>
      </c>
      <c r="N42" s="15">
        <f>I42*0.115+101.23</f>
        <v>711.59250000000009</v>
      </c>
      <c r="O42" s="15">
        <f>SUM(L42:N42)</f>
        <v>1290.7125000000001</v>
      </c>
      <c r="P42" s="18">
        <f>I42-O42</f>
        <v>4016.7874999999999</v>
      </c>
      <c r="Q42" s="11">
        <v>256.68</v>
      </c>
      <c r="R42" s="11">
        <v>1070</v>
      </c>
      <c r="S42" s="35">
        <f t="shared" ref="S42:S43" si="17">Q42+R42</f>
        <v>1326.68</v>
      </c>
    </row>
    <row r="43" spans="2:19" x14ac:dyDescent="0.25">
      <c r="B43" t="s">
        <v>152</v>
      </c>
      <c r="C43" t="s">
        <v>92</v>
      </c>
      <c r="D43" t="s">
        <v>80</v>
      </c>
      <c r="E43" s="15">
        <v>5350</v>
      </c>
      <c r="F43" s="29">
        <v>15</v>
      </c>
      <c r="G43" s="15"/>
      <c r="H43" s="15"/>
      <c r="I43" s="15">
        <f>E43-G43</f>
        <v>5350</v>
      </c>
      <c r="J43" s="15">
        <v>0</v>
      </c>
      <c r="K43" s="15">
        <v>588.20000000000005</v>
      </c>
      <c r="L43" s="15">
        <v>588.20000000000005</v>
      </c>
      <c r="M43" s="15">
        <v>0</v>
      </c>
      <c r="N43" s="15">
        <f>I43*0.115</f>
        <v>615.25</v>
      </c>
      <c r="O43" s="15">
        <f>SUM(L43:N43)</f>
        <v>1203.45</v>
      </c>
      <c r="P43" s="18">
        <f>I43-O43</f>
        <v>4146.55</v>
      </c>
      <c r="Q43" s="11">
        <v>256.68</v>
      </c>
      <c r="R43" s="11">
        <v>1070</v>
      </c>
      <c r="S43" s="35">
        <f t="shared" si="17"/>
        <v>1326.68</v>
      </c>
    </row>
    <row r="44" spans="2:19" x14ac:dyDescent="0.25">
      <c r="B44" s="2" t="s">
        <v>26</v>
      </c>
      <c r="C44" s="30"/>
      <c r="D44" s="30"/>
      <c r="E44" s="34">
        <f>E42+E43</f>
        <v>10700</v>
      </c>
      <c r="F44" s="34"/>
      <c r="G44" s="34">
        <f>G42+G43</f>
        <v>42.5</v>
      </c>
      <c r="H44" s="34">
        <f>H42+H43</f>
        <v>0</v>
      </c>
      <c r="I44" s="34">
        <f t="shared" ref="I44:S44" si="18">I42+I43</f>
        <v>10657.5</v>
      </c>
      <c r="J44" s="34">
        <f t="shared" si="18"/>
        <v>0</v>
      </c>
      <c r="K44" s="34">
        <f t="shared" si="18"/>
        <v>1174.4100000000001</v>
      </c>
      <c r="L44" s="34">
        <f t="shared" si="18"/>
        <v>1167.3200000000002</v>
      </c>
      <c r="M44" s="34">
        <f t="shared" si="18"/>
        <v>0</v>
      </c>
      <c r="N44" s="34">
        <f t="shared" si="18"/>
        <v>1326.8425000000002</v>
      </c>
      <c r="O44" s="34">
        <f t="shared" si="18"/>
        <v>2494.1625000000004</v>
      </c>
      <c r="P44" s="34">
        <f t="shared" si="18"/>
        <v>8163.3374999999996</v>
      </c>
      <c r="Q44" s="34">
        <f t="shared" si="18"/>
        <v>513.36</v>
      </c>
      <c r="R44" s="34">
        <f t="shared" si="18"/>
        <v>2140</v>
      </c>
      <c r="S44" s="34">
        <f t="shared" si="18"/>
        <v>2653.36</v>
      </c>
    </row>
    <row r="45" spans="2:19" hidden="1" x14ac:dyDescent="0.25">
      <c r="B45" s="2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8"/>
      <c r="R45" s="8"/>
      <c r="S45" s="8"/>
    </row>
    <row r="46" spans="2:19" x14ac:dyDescent="0.25">
      <c r="B46" s="2" t="s">
        <v>161</v>
      </c>
      <c r="C46" s="2" t="s">
        <v>162</v>
      </c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  <c r="R46" s="8"/>
      <c r="S46" s="8"/>
    </row>
    <row r="47" spans="2:19" x14ac:dyDescent="0.25">
      <c r="B47" t="s">
        <v>163</v>
      </c>
      <c r="C47" s="11" t="s">
        <v>42</v>
      </c>
      <c r="D47" t="s">
        <v>2</v>
      </c>
      <c r="E47" s="15">
        <v>10000</v>
      </c>
      <c r="F47" s="29">
        <v>15</v>
      </c>
      <c r="G47" s="15"/>
      <c r="H47" s="15"/>
      <c r="I47" s="15">
        <f>E47-G47</f>
        <v>10000</v>
      </c>
      <c r="J47" s="15">
        <v>0</v>
      </c>
      <c r="K47" s="15">
        <v>1581.44</v>
      </c>
      <c r="L47" s="15">
        <f>K47-J47</f>
        <v>1581.44</v>
      </c>
      <c r="M47" s="15">
        <v>0</v>
      </c>
      <c r="N47" s="15">
        <f>E47*0.115+175</f>
        <v>1325</v>
      </c>
      <c r="O47" s="15">
        <f>SUM(L47:N47)</f>
        <v>2906.44</v>
      </c>
      <c r="P47" s="18">
        <f>I47-O47</f>
        <v>7093.5599999999995</v>
      </c>
      <c r="Q47" s="11">
        <v>285.52999999999997</v>
      </c>
      <c r="R47" s="11">
        <v>2000</v>
      </c>
      <c r="S47" s="35">
        <f>Q47+R47</f>
        <v>2285.5299999999997</v>
      </c>
    </row>
    <row r="48" spans="2:19" x14ac:dyDescent="0.25">
      <c r="B48" s="2" t="s">
        <v>26</v>
      </c>
      <c r="E48" s="34">
        <f>E47</f>
        <v>10000</v>
      </c>
      <c r="F48" s="34"/>
      <c r="G48" s="34">
        <f>G47</f>
        <v>0</v>
      </c>
      <c r="H48" s="34">
        <f>H47</f>
        <v>0</v>
      </c>
      <c r="I48" s="34">
        <f t="shared" ref="I48:S48" si="19">I47</f>
        <v>10000</v>
      </c>
      <c r="J48" s="34">
        <f t="shared" si="19"/>
        <v>0</v>
      </c>
      <c r="K48" s="34">
        <f t="shared" si="19"/>
        <v>1581.44</v>
      </c>
      <c r="L48" s="34">
        <f t="shared" si="19"/>
        <v>1581.44</v>
      </c>
      <c r="M48" s="34">
        <f t="shared" si="19"/>
        <v>0</v>
      </c>
      <c r="N48" s="34">
        <f t="shared" si="19"/>
        <v>1325</v>
      </c>
      <c r="O48" s="34">
        <f t="shared" si="19"/>
        <v>2906.44</v>
      </c>
      <c r="P48" s="34">
        <f t="shared" si="19"/>
        <v>7093.5599999999995</v>
      </c>
      <c r="Q48" s="34">
        <f t="shared" si="19"/>
        <v>285.52999999999997</v>
      </c>
      <c r="R48" s="34">
        <f t="shared" si="19"/>
        <v>2000</v>
      </c>
      <c r="S48" s="34">
        <f t="shared" si="19"/>
        <v>2285.5299999999997</v>
      </c>
    </row>
    <row r="49" spans="2:19" ht="12" customHeight="1" x14ac:dyDescent="0.25">
      <c r="B49" s="2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0" spans="2:19" hidden="1" x14ac:dyDescent="0.25"/>
    <row r="51" spans="2:19" ht="18.75" x14ac:dyDescent="0.3">
      <c r="C51" s="53" t="s">
        <v>105</v>
      </c>
      <c r="E51" s="17">
        <f>E9+E19+E25+E39+E44+E48</f>
        <v>153604.95000000001</v>
      </c>
      <c r="F51" s="17"/>
      <c r="G51" s="17">
        <f t="shared" ref="G51:S51" si="20">G9+G19+G25+G39+G44+G48</f>
        <v>82.45</v>
      </c>
      <c r="H51" s="17">
        <f t="shared" si="20"/>
        <v>0</v>
      </c>
      <c r="I51" s="17">
        <f t="shared" si="20"/>
        <v>153522.5</v>
      </c>
      <c r="J51" s="17">
        <f t="shared" si="20"/>
        <v>274.08999999999997</v>
      </c>
      <c r="K51" s="17">
        <f t="shared" si="20"/>
        <v>18645.48</v>
      </c>
      <c r="L51" s="17">
        <f t="shared" si="20"/>
        <v>18619.8</v>
      </c>
      <c r="M51" s="17">
        <f t="shared" si="20"/>
        <v>0</v>
      </c>
      <c r="N51" s="17">
        <f t="shared" si="20"/>
        <v>20023.311750000001</v>
      </c>
      <c r="O51" s="17">
        <f t="shared" si="20"/>
        <v>38643.111750000004</v>
      </c>
      <c r="P51" s="54">
        <f t="shared" si="20"/>
        <v>114879.38824999999</v>
      </c>
      <c r="Q51" s="17">
        <f t="shared" si="20"/>
        <v>6763.6999999999989</v>
      </c>
      <c r="R51" s="17">
        <f t="shared" si="20"/>
        <v>30720.989999999998</v>
      </c>
      <c r="S51" s="55">
        <f t="shared" si="20"/>
        <v>37484.69</v>
      </c>
    </row>
    <row r="54" spans="2:19" ht="15.75" thickBot="1" x14ac:dyDescent="0.3">
      <c r="E54" s="89"/>
      <c r="F54" s="89"/>
      <c r="N54" s="90"/>
      <c r="O54" s="90"/>
    </row>
    <row r="55" spans="2:19" x14ac:dyDescent="0.25">
      <c r="E55" s="91" t="s">
        <v>172</v>
      </c>
      <c r="F55" s="91"/>
      <c r="N55" s="26"/>
      <c r="O55" s="26"/>
      <c r="P55" s="92" t="s">
        <v>157</v>
      </c>
      <c r="Q55" s="92"/>
    </row>
    <row r="59" spans="2:19" x14ac:dyDescent="0.25">
      <c r="C59" t="s">
        <v>174</v>
      </c>
    </row>
  </sheetData>
  <mergeCells count="5">
    <mergeCell ref="E54:F54"/>
    <mergeCell ref="N54:O54"/>
    <mergeCell ref="E55:F55"/>
    <mergeCell ref="B4:S4"/>
    <mergeCell ref="P55:Q55"/>
  </mergeCells>
  <pageMargins left="0.51181102362204722" right="0.51181102362204722" top="0.15748031496062992" bottom="0.35433070866141736" header="0.31496062992125984" footer="0.31496062992125984"/>
  <pageSetup paperSize="300" scale="60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60"/>
  <sheetViews>
    <sheetView topLeftCell="A20" workbookViewId="0">
      <selection activeCell="H34" sqref="H34"/>
    </sheetView>
  </sheetViews>
  <sheetFormatPr baseColWidth="10" defaultRowHeight="15" x14ac:dyDescent="0.25"/>
  <cols>
    <col min="1" max="1" width="0.7109375" customWidth="1"/>
    <col min="2" max="2" width="16.5703125" customWidth="1"/>
    <col min="3" max="3" width="34.140625" customWidth="1"/>
    <col min="4" max="4" width="29.28515625" customWidth="1"/>
    <col min="5" max="5" width="18.42578125" customWidth="1"/>
    <col min="8" max="8" width="13.85546875" customWidth="1"/>
    <col min="9" max="9" width="0" hidden="1" customWidth="1"/>
    <col min="10" max="10" width="14.42578125" customWidth="1"/>
    <col min="11" max="11" width="9.42578125" customWidth="1"/>
    <col min="12" max="12" width="14.42578125" customWidth="1"/>
    <col min="13" max="13" width="12.7109375" customWidth="1"/>
    <col min="14" max="14" width="11.42578125" hidden="1" customWidth="1"/>
    <col min="15" max="15" width="12.85546875" customWidth="1"/>
    <col min="16" max="16" width="16.5703125" customWidth="1"/>
    <col min="17" max="17" width="18.28515625" customWidth="1"/>
    <col min="18" max="18" width="16.140625" customWidth="1"/>
    <col min="19" max="19" width="14.85546875" customWidth="1"/>
    <col min="20" max="20" width="17" customWidth="1"/>
  </cols>
  <sheetData>
    <row r="3" spans="2:20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20" ht="16.5" customHeight="1" x14ac:dyDescent="0.25">
      <c r="B4" s="86" t="s">
        <v>176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2:20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45" t="s">
        <v>169</v>
      </c>
      <c r="I5" s="44" t="s">
        <v>170</v>
      </c>
      <c r="J5" s="44" t="s">
        <v>12</v>
      </c>
      <c r="K5" s="44" t="s">
        <v>107</v>
      </c>
      <c r="L5" s="44" t="s">
        <v>143</v>
      </c>
      <c r="M5" s="44" t="s">
        <v>13</v>
      </c>
      <c r="N5" s="44" t="s">
        <v>171</v>
      </c>
      <c r="O5" s="44" t="s">
        <v>16</v>
      </c>
      <c r="P5" s="44" t="s">
        <v>17</v>
      </c>
      <c r="Q5" s="44" t="s">
        <v>72</v>
      </c>
      <c r="R5" s="43" t="s">
        <v>8</v>
      </c>
      <c r="S5" s="43" t="s">
        <v>18</v>
      </c>
      <c r="T5" s="46" t="s">
        <v>73</v>
      </c>
    </row>
    <row r="6" spans="2:20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20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>
        <v>2700</v>
      </c>
      <c r="H7" s="15">
        <v>0</v>
      </c>
      <c r="I7" s="15"/>
      <c r="J7" s="15">
        <f>E7-H7</f>
        <v>16954.95</v>
      </c>
      <c r="K7" s="15">
        <v>0</v>
      </c>
      <c r="L7" s="15">
        <v>3246.93</v>
      </c>
      <c r="M7" s="15">
        <f>L7-K7</f>
        <v>3246.93</v>
      </c>
      <c r="N7" s="15">
        <v>0</v>
      </c>
      <c r="O7" s="15">
        <f>E7*0.115</f>
        <v>1949.8192500000002</v>
      </c>
      <c r="P7" s="15">
        <f>SUM(M7:O7)+G7</f>
        <v>7896.7492499999998</v>
      </c>
      <c r="Q7" s="18">
        <f>J7-P7</f>
        <v>9058.20075</v>
      </c>
      <c r="R7" s="11">
        <v>328.67</v>
      </c>
      <c r="S7" s="11">
        <v>3390.99</v>
      </c>
      <c r="T7" s="35">
        <f>SUM(R7:S7)</f>
        <v>3719.66</v>
      </c>
    </row>
    <row r="8" spans="2:20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>
        <v>809</v>
      </c>
      <c r="H8" s="15"/>
      <c r="I8" s="15"/>
      <c r="J8" s="15">
        <f>E8-H8</f>
        <v>4850</v>
      </c>
      <c r="K8" s="15">
        <v>0</v>
      </c>
      <c r="L8" s="15">
        <v>491.69</v>
      </c>
      <c r="M8" s="15">
        <f t="shared" ref="M8" si="0">L8-K8</f>
        <v>491.69</v>
      </c>
      <c r="N8" s="15">
        <v>0</v>
      </c>
      <c r="O8" s="15">
        <f>E8*0.115</f>
        <v>557.75</v>
      </c>
      <c r="P8" s="15">
        <f>SUM(M8:O8)+G8</f>
        <v>1858.44</v>
      </c>
      <c r="Q8" s="18">
        <f>J8-P8</f>
        <v>2991.56</v>
      </c>
      <c r="R8" s="11">
        <v>253.58</v>
      </c>
      <c r="S8" s="11">
        <v>970</v>
      </c>
      <c r="T8" s="35">
        <f t="shared" ref="T8" si="1">SUM(R8:S8)</f>
        <v>1223.58</v>
      </c>
    </row>
    <row r="9" spans="2:20" x14ac:dyDescent="0.25">
      <c r="B9" s="7" t="s">
        <v>26</v>
      </c>
      <c r="C9" s="30"/>
      <c r="D9" s="30"/>
      <c r="E9" s="34">
        <f>SUM(E7:E8)</f>
        <v>21804.95</v>
      </c>
      <c r="F9" s="34"/>
      <c r="G9" s="34"/>
      <c r="H9" s="34">
        <f t="shared" ref="H9:T9" si="2">SUM(H7:H8)</f>
        <v>0</v>
      </c>
      <c r="I9" s="34">
        <f t="shared" si="2"/>
        <v>0</v>
      </c>
      <c r="J9" s="34">
        <f t="shared" si="2"/>
        <v>21804.95</v>
      </c>
      <c r="K9" s="34">
        <f t="shared" si="2"/>
        <v>0</v>
      </c>
      <c r="L9" s="34">
        <f t="shared" si="2"/>
        <v>3738.62</v>
      </c>
      <c r="M9" s="34">
        <f t="shared" si="2"/>
        <v>3738.62</v>
      </c>
      <c r="N9" s="34">
        <f t="shared" si="2"/>
        <v>0</v>
      </c>
      <c r="O9" s="34">
        <f t="shared" si="2"/>
        <v>2507.5692500000005</v>
      </c>
      <c r="P9" s="34">
        <f t="shared" si="2"/>
        <v>9755.1892499999994</v>
      </c>
      <c r="Q9" s="34">
        <f t="shared" si="2"/>
        <v>12049.760749999999</v>
      </c>
      <c r="R9" s="34">
        <f t="shared" si="2"/>
        <v>582.25</v>
      </c>
      <c r="S9" s="34">
        <f t="shared" si="2"/>
        <v>4360.99</v>
      </c>
      <c r="T9" s="34">
        <f t="shared" si="2"/>
        <v>4943.24</v>
      </c>
    </row>
    <row r="10" spans="2:20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20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20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>
        <f t="shared" ref="J12:J19" si="3">E12-H12</f>
        <v>10000</v>
      </c>
      <c r="K12" s="15">
        <v>0</v>
      </c>
      <c r="L12" s="15">
        <v>1581.44</v>
      </c>
      <c r="M12" s="15">
        <f>L12-K12</f>
        <v>1581.44</v>
      </c>
      <c r="N12" s="15">
        <v>0</v>
      </c>
      <c r="O12" s="15">
        <f t="shared" ref="O12:O19" si="4">E12*0.115</f>
        <v>1150</v>
      </c>
      <c r="P12" s="15">
        <f t="shared" ref="P12:P19" si="5">SUM(M12:O12)+G12</f>
        <v>2731.44</v>
      </c>
      <c r="Q12" s="18">
        <f t="shared" ref="Q12:Q19" si="6">J12-P12</f>
        <v>7268.5599999999995</v>
      </c>
      <c r="R12" s="11">
        <v>285.52999999999997</v>
      </c>
      <c r="S12" s="11">
        <v>2000</v>
      </c>
      <c r="T12" s="35">
        <f>R12+S12</f>
        <v>2285.5299999999997</v>
      </c>
    </row>
    <row r="13" spans="2:20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9"/>
      <c r="I13" s="19"/>
      <c r="J13" s="15">
        <f t="shared" si="3"/>
        <v>5350</v>
      </c>
      <c r="K13" s="15">
        <v>0</v>
      </c>
      <c r="L13" s="15">
        <v>586.75</v>
      </c>
      <c r="M13" s="15">
        <v>588.20000000000005</v>
      </c>
      <c r="N13" s="15">
        <v>0</v>
      </c>
      <c r="O13" s="15">
        <f t="shared" si="4"/>
        <v>615.25</v>
      </c>
      <c r="P13" s="15">
        <f t="shared" si="5"/>
        <v>1203.45</v>
      </c>
      <c r="Q13" s="18">
        <f t="shared" si="6"/>
        <v>4146.55</v>
      </c>
      <c r="R13" s="11">
        <v>256.68</v>
      </c>
      <c r="S13" s="11">
        <v>1070</v>
      </c>
      <c r="T13" s="35">
        <f>R13+S13</f>
        <v>1326.68</v>
      </c>
    </row>
    <row r="14" spans="2:20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19"/>
      <c r="I14" s="19"/>
      <c r="J14" s="15">
        <f t="shared" ref="J14" si="7">E14-H14</f>
        <v>5350</v>
      </c>
      <c r="K14" s="15">
        <v>0</v>
      </c>
      <c r="L14" s="15">
        <v>586.75</v>
      </c>
      <c r="M14" s="15">
        <v>588.20000000000005</v>
      </c>
      <c r="N14" s="15">
        <v>0</v>
      </c>
      <c r="O14" s="15">
        <f t="shared" si="4"/>
        <v>615.25</v>
      </c>
      <c r="P14" s="15">
        <f t="shared" si="5"/>
        <v>1203.45</v>
      </c>
      <c r="Q14" s="18">
        <f t="shared" ref="Q14" si="8">J14-P14</f>
        <v>4146.55</v>
      </c>
      <c r="R14" s="11">
        <v>256.68</v>
      </c>
      <c r="S14" s="11">
        <v>1070</v>
      </c>
      <c r="T14" s="35">
        <f>R14+S14</f>
        <v>1326.68</v>
      </c>
    </row>
    <row r="15" spans="2:20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>
        <f t="shared" si="3"/>
        <v>6000</v>
      </c>
      <c r="K15" s="15">
        <v>0</v>
      </c>
      <c r="L15" s="15">
        <v>727.04</v>
      </c>
      <c r="M15" s="15">
        <f t="shared" ref="M15:M19" si="9">L15-K15</f>
        <v>727.04</v>
      </c>
      <c r="N15" s="15">
        <v>0</v>
      </c>
      <c r="O15" s="15">
        <f t="shared" si="4"/>
        <v>690</v>
      </c>
      <c r="P15" s="15">
        <f t="shared" si="5"/>
        <v>1417.04</v>
      </c>
      <c r="Q15" s="18">
        <f t="shared" si="6"/>
        <v>4582.96</v>
      </c>
      <c r="R15" s="11">
        <v>260.72000000000003</v>
      </c>
      <c r="S15" s="11">
        <v>1200</v>
      </c>
      <c r="T15" s="35">
        <f>R15+S15</f>
        <v>1460.72</v>
      </c>
    </row>
    <row r="16" spans="2:20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750</v>
      </c>
      <c r="H16" s="15"/>
      <c r="I16" s="15"/>
      <c r="J16" s="15">
        <f t="shared" si="3"/>
        <v>4500</v>
      </c>
      <c r="K16" s="15">
        <v>0</v>
      </c>
      <c r="L16" s="15">
        <v>428.97</v>
      </c>
      <c r="M16" s="15">
        <f t="shared" si="9"/>
        <v>428.97</v>
      </c>
      <c r="N16" s="15">
        <v>0</v>
      </c>
      <c r="O16" s="15">
        <f t="shared" si="4"/>
        <v>517.5</v>
      </c>
      <c r="P16" s="15">
        <f t="shared" si="5"/>
        <v>1696.47</v>
      </c>
      <c r="Q16" s="18">
        <f t="shared" si="6"/>
        <v>2803.5299999999997</v>
      </c>
      <c r="R16" s="11">
        <v>251.41</v>
      </c>
      <c r="S16" s="11">
        <v>900</v>
      </c>
      <c r="T16" s="35">
        <f>R16+S16</f>
        <v>1151.4100000000001</v>
      </c>
    </row>
    <row r="17" spans="2:20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610</v>
      </c>
      <c r="H17" s="15"/>
      <c r="I17" s="15"/>
      <c r="J17" s="15">
        <f t="shared" si="3"/>
        <v>4500</v>
      </c>
      <c r="K17" s="15">
        <v>0</v>
      </c>
      <c r="L17" s="15">
        <v>428.97</v>
      </c>
      <c r="M17" s="15">
        <v>428.97</v>
      </c>
      <c r="N17" s="15">
        <v>0</v>
      </c>
      <c r="O17" s="15">
        <f t="shared" si="4"/>
        <v>517.5</v>
      </c>
      <c r="P17" s="15">
        <f t="shared" si="5"/>
        <v>1556.47</v>
      </c>
      <c r="Q17" s="18">
        <f t="shared" si="6"/>
        <v>2943.5299999999997</v>
      </c>
      <c r="R17" s="11">
        <v>251.41</v>
      </c>
      <c r="S17" s="11">
        <v>900</v>
      </c>
      <c r="T17" s="35">
        <f t="shared" ref="T17:T19" si="10">R17+S17</f>
        <v>1151.4100000000001</v>
      </c>
    </row>
    <row r="18" spans="2:20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450</v>
      </c>
      <c r="H18" s="15"/>
      <c r="I18" s="15"/>
      <c r="J18" s="15">
        <f t="shared" si="3"/>
        <v>2700</v>
      </c>
      <c r="K18" s="15">
        <v>147.32</v>
      </c>
      <c r="L18" s="15">
        <v>188.33</v>
      </c>
      <c r="M18" s="15">
        <f t="shared" si="9"/>
        <v>41.010000000000019</v>
      </c>
      <c r="N18" s="15">
        <v>0</v>
      </c>
      <c r="O18" s="15">
        <f t="shared" si="4"/>
        <v>310.5</v>
      </c>
      <c r="P18" s="15">
        <f t="shared" si="5"/>
        <v>801.51</v>
      </c>
      <c r="Q18" s="18">
        <f t="shared" si="6"/>
        <v>1898.49</v>
      </c>
      <c r="R18" s="11">
        <v>240.25</v>
      </c>
      <c r="S18" s="11">
        <v>540</v>
      </c>
      <c r="T18" s="35">
        <f t="shared" si="10"/>
        <v>780.25</v>
      </c>
    </row>
    <row r="19" spans="2:20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/>
      <c r="H19" s="15"/>
      <c r="I19" s="15"/>
      <c r="J19" s="15">
        <f t="shared" si="3"/>
        <v>3150</v>
      </c>
      <c r="K19" s="15">
        <v>126.77</v>
      </c>
      <c r="L19" s="15">
        <v>237.29</v>
      </c>
      <c r="M19" s="15">
        <f t="shared" si="9"/>
        <v>110.52</v>
      </c>
      <c r="N19" s="15">
        <v>0</v>
      </c>
      <c r="O19" s="15">
        <f t="shared" si="4"/>
        <v>362.25</v>
      </c>
      <c r="P19" s="15">
        <f t="shared" si="5"/>
        <v>472.77</v>
      </c>
      <c r="Q19" s="18">
        <f t="shared" si="6"/>
        <v>2677.23</v>
      </c>
      <c r="R19" s="11">
        <v>243.04</v>
      </c>
      <c r="S19" s="11">
        <v>630</v>
      </c>
      <c r="T19" s="35">
        <f t="shared" si="10"/>
        <v>873.04</v>
      </c>
    </row>
    <row r="20" spans="2:20" x14ac:dyDescent="0.25">
      <c r="B20" s="2" t="s">
        <v>26</v>
      </c>
      <c r="C20" s="30"/>
      <c r="D20" s="30"/>
      <c r="E20" s="34">
        <f>SUM(E12:E19)</f>
        <v>41550</v>
      </c>
      <c r="F20" s="34"/>
      <c r="G20" s="34"/>
      <c r="H20" s="34">
        <f t="shared" ref="H20:T20" si="11">SUM(H12:H19)</f>
        <v>0</v>
      </c>
      <c r="I20" s="34">
        <f t="shared" si="11"/>
        <v>0</v>
      </c>
      <c r="J20" s="34">
        <f t="shared" si="11"/>
        <v>41550</v>
      </c>
      <c r="K20" s="34">
        <f t="shared" si="11"/>
        <v>274.08999999999997</v>
      </c>
      <c r="L20" s="34">
        <f t="shared" si="11"/>
        <v>4765.54</v>
      </c>
      <c r="M20" s="34">
        <f t="shared" si="11"/>
        <v>4494.3500000000013</v>
      </c>
      <c r="N20" s="34">
        <f t="shared" si="11"/>
        <v>0</v>
      </c>
      <c r="O20" s="34">
        <f t="shared" si="11"/>
        <v>4778.25</v>
      </c>
      <c r="P20" s="34">
        <f t="shared" si="11"/>
        <v>11082.6</v>
      </c>
      <c r="Q20" s="34">
        <f t="shared" si="11"/>
        <v>30467.399999999998</v>
      </c>
      <c r="R20" s="34">
        <f t="shared" si="11"/>
        <v>2045.7200000000003</v>
      </c>
      <c r="S20" s="34">
        <f t="shared" si="11"/>
        <v>8310</v>
      </c>
      <c r="T20" s="34">
        <f t="shared" si="11"/>
        <v>10355.720000000001</v>
      </c>
    </row>
    <row r="21" spans="2:20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20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20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15"/>
      <c r="J23" s="15">
        <f>E23-H23</f>
        <v>5350</v>
      </c>
      <c r="K23" s="15">
        <v>0</v>
      </c>
      <c r="L23" s="15">
        <v>453.47</v>
      </c>
      <c r="M23" s="15">
        <v>588.20000000000005</v>
      </c>
      <c r="N23" s="15">
        <v>0</v>
      </c>
      <c r="O23" s="15">
        <f>E23*0.115</f>
        <v>615.25</v>
      </c>
      <c r="P23" s="15">
        <f>SUM(M23:O23)+G23</f>
        <v>1203.45</v>
      </c>
      <c r="Q23" s="18">
        <f>J23-P23</f>
        <v>4146.55</v>
      </c>
      <c r="R23" s="11">
        <v>256.68</v>
      </c>
      <c r="S23" s="11">
        <v>1070</v>
      </c>
      <c r="T23" s="35">
        <f>R23+S23</f>
        <v>1326.68</v>
      </c>
    </row>
    <row r="24" spans="2:20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/>
      <c r="J24" s="15">
        <f>E24-H24</f>
        <v>5350</v>
      </c>
      <c r="K24" s="15">
        <v>0</v>
      </c>
      <c r="L24" s="15">
        <v>588.20000000000005</v>
      </c>
      <c r="M24" s="15">
        <f>L24-K24</f>
        <v>588.20000000000005</v>
      </c>
      <c r="N24" s="15">
        <v>0</v>
      </c>
      <c r="O24" s="15">
        <f>E24*0.115</f>
        <v>615.25</v>
      </c>
      <c r="P24" s="15">
        <f>SUM(M24:O24)+G24</f>
        <v>1203.45</v>
      </c>
      <c r="Q24" s="18">
        <f>J24-P24</f>
        <v>4146.55</v>
      </c>
      <c r="R24" s="11">
        <v>256.68</v>
      </c>
      <c r="S24" s="11">
        <v>1070</v>
      </c>
      <c r="T24" s="35">
        <f>R24+S24</f>
        <v>1326.68</v>
      </c>
    </row>
    <row r="25" spans="2:20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>
        <f>E25-H25</f>
        <v>5350</v>
      </c>
      <c r="K25" s="15">
        <v>0</v>
      </c>
      <c r="L25" s="15">
        <v>588.20000000000005</v>
      </c>
      <c r="M25" s="15">
        <f>L25-K25</f>
        <v>588.20000000000005</v>
      </c>
      <c r="N25" s="15">
        <v>0</v>
      </c>
      <c r="O25" s="15">
        <f>E25*0.115</f>
        <v>615.25</v>
      </c>
      <c r="P25" s="15">
        <f>SUM(M25:O25)+G25</f>
        <v>1203.45</v>
      </c>
      <c r="Q25" s="18">
        <f>J25-P25</f>
        <v>4146.55</v>
      </c>
      <c r="R25" s="11">
        <v>256.68</v>
      </c>
      <c r="S25" s="11">
        <v>1070</v>
      </c>
      <c r="T25" s="35">
        <f>R25+S25</f>
        <v>1326.68</v>
      </c>
    </row>
    <row r="26" spans="2:20" x14ac:dyDescent="0.25">
      <c r="B26" s="2" t="s">
        <v>26</v>
      </c>
      <c r="C26" s="30"/>
      <c r="D26" s="30"/>
      <c r="E26" s="34">
        <f>SUM(E23:E25)</f>
        <v>16050</v>
      </c>
      <c r="F26" s="34"/>
      <c r="G26" s="34"/>
      <c r="H26" s="34">
        <f>SUM(H23:H25)</f>
        <v>0</v>
      </c>
      <c r="I26" s="34">
        <f>SUM(I23:I25)</f>
        <v>0</v>
      </c>
      <c r="J26" s="34">
        <f t="shared" ref="J26:T26" si="12">SUM(J23:J25)</f>
        <v>16050</v>
      </c>
      <c r="K26" s="34">
        <f t="shared" si="12"/>
        <v>0</v>
      </c>
      <c r="L26" s="34">
        <f t="shared" si="12"/>
        <v>1629.8700000000001</v>
      </c>
      <c r="M26" s="34">
        <f t="shared" si="12"/>
        <v>1764.6000000000001</v>
      </c>
      <c r="N26" s="34">
        <f t="shared" si="12"/>
        <v>0</v>
      </c>
      <c r="O26" s="34">
        <f t="shared" si="12"/>
        <v>1845.75</v>
      </c>
      <c r="P26" s="34">
        <f t="shared" si="12"/>
        <v>3610.3500000000004</v>
      </c>
      <c r="Q26" s="34">
        <f t="shared" si="12"/>
        <v>12439.650000000001</v>
      </c>
      <c r="R26" s="34">
        <f t="shared" si="12"/>
        <v>770.04</v>
      </c>
      <c r="S26" s="34">
        <f t="shared" si="12"/>
        <v>3210</v>
      </c>
      <c r="T26" s="34">
        <f t="shared" si="12"/>
        <v>3980.04</v>
      </c>
    </row>
    <row r="27" spans="2:20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20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20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>
        <v>29.72</v>
      </c>
      <c r="I29" s="15"/>
      <c r="J29" s="15">
        <f t="shared" ref="J29:J39" si="13">E29-H29</f>
        <v>5320.28</v>
      </c>
      <c r="K29" s="15">
        <v>0</v>
      </c>
      <c r="L29" s="15">
        <v>588.20000000000005</v>
      </c>
      <c r="M29" s="15">
        <f>L29-K29</f>
        <v>588.20000000000005</v>
      </c>
      <c r="N29" s="15">
        <v>0</v>
      </c>
      <c r="O29" s="15">
        <f>E29*0.115</f>
        <v>615.25</v>
      </c>
      <c r="P29" s="15">
        <f t="shared" ref="P29:P39" si="14">SUM(M29:O29)+G29</f>
        <v>1203.45</v>
      </c>
      <c r="Q29" s="18">
        <f t="shared" ref="Q29:Q39" si="15">J29-P29</f>
        <v>4116.83</v>
      </c>
      <c r="R29" s="11">
        <v>256.68</v>
      </c>
      <c r="S29" s="11">
        <v>1070</v>
      </c>
      <c r="T29" s="35">
        <f t="shared" ref="T29:T39" si="16">R29+S29</f>
        <v>1326.68</v>
      </c>
    </row>
    <row r="30" spans="2:20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1"/>
      <c r="I30" s="20"/>
      <c r="J30" s="20">
        <f t="shared" si="13"/>
        <v>5350</v>
      </c>
      <c r="K30" s="20">
        <v>0</v>
      </c>
      <c r="L30" s="20">
        <v>587.48</v>
      </c>
      <c r="M30" s="20">
        <v>588.20000000000005</v>
      </c>
      <c r="N30" s="15">
        <v>0</v>
      </c>
      <c r="O30" s="15">
        <f t="shared" ref="O30:O39" si="17">E30*0.115</f>
        <v>615.25</v>
      </c>
      <c r="P30" s="15">
        <f t="shared" si="14"/>
        <v>1203.45</v>
      </c>
      <c r="Q30" s="18">
        <f t="shared" si="15"/>
        <v>4146.55</v>
      </c>
      <c r="R30" s="11">
        <v>256.68</v>
      </c>
      <c r="S30" s="11">
        <v>1070</v>
      </c>
      <c r="T30" s="35">
        <f t="shared" si="16"/>
        <v>1326.68</v>
      </c>
    </row>
    <row r="31" spans="2:20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20">
        <v>29.72</v>
      </c>
      <c r="I31" s="20"/>
      <c r="J31" s="20">
        <f t="shared" si="13"/>
        <v>5320.28</v>
      </c>
      <c r="K31" s="20">
        <v>0</v>
      </c>
      <c r="L31" s="20">
        <v>588.20000000000005</v>
      </c>
      <c r="M31" s="20">
        <f t="shared" ref="M31:M39" si="18">L31-K31</f>
        <v>588.20000000000005</v>
      </c>
      <c r="N31" s="15">
        <v>0</v>
      </c>
      <c r="O31" s="15">
        <f t="shared" si="17"/>
        <v>615.25</v>
      </c>
      <c r="P31" s="15">
        <f t="shared" si="14"/>
        <v>1203.45</v>
      </c>
      <c r="Q31" s="18">
        <f t="shared" si="15"/>
        <v>4116.83</v>
      </c>
      <c r="R31" s="11">
        <v>256.68</v>
      </c>
      <c r="S31" s="11">
        <v>1070</v>
      </c>
      <c r="T31" s="35">
        <f t="shared" si="16"/>
        <v>1326.68</v>
      </c>
    </row>
    <row r="32" spans="2:20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20"/>
      <c r="I32" s="20"/>
      <c r="J32" s="20">
        <f t="shared" si="13"/>
        <v>5350</v>
      </c>
      <c r="K32" s="20">
        <v>0</v>
      </c>
      <c r="L32" s="20">
        <v>588.20000000000005</v>
      </c>
      <c r="M32" s="20">
        <f t="shared" si="18"/>
        <v>588.20000000000005</v>
      </c>
      <c r="N32" s="15">
        <v>0</v>
      </c>
      <c r="O32" s="15">
        <f t="shared" si="17"/>
        <v>615.25</v>
      </c>
      <c r="P32" s="15">
        <f t="shared" si="14"/>
        <v>1203.45</v>
      </c>
      <c r="Q32" s="18">
        <f t="shared" si="15"/>
        <v>4146.55</v>
      </c>
      <c r="R32" s="11">
        <v>256.68</v>
      </c>
      <c r="S32" s="11">
        <v>1070</v>
      </c>
      <c r="T32" s="35">
        <f t="shared" si="16"/>
        <v>1326.68</v>
      </c>
    </row>
    <row r="33" spans="2:20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595</v>
      </c>
      <c r="H33" s="20"/>
      <c r="I33" s="20"/>
      <c r="J33" s="20">
        <f t="shared" si="13"/>
        <v>5350</v>
      </c>
      <c r="K33" s="20">
        <v>0</v>
      </c>
      <c r="L33" s="20">
        <v>517.23</v>
      </c>
      <c r="M33" s="20">
        <v>588.02</v>
      </c>
      <c r="N33" s="15">
        <v>0</v>
      </c>
      <c r="O33" s="15">
        <f t="shared" si="17"/>
        <v>615.25</v>
      </c>
      <c r="P33" s="15">
        <f t="shared" si="14"/>
        <v>1798.27</v>
      </c>
      <c r="Q33" s="18">
        <f t="shared" si="15"/>
        <v>3551.73</v>
      </c>
      <c r="R33" s="11">
        <v>256.68</v>
      </c>
      <c r="S33" s="11">
        <v>1070</v>
      </c>
      <c r="T33" s="35">
        <f t="shared" si="16"/>
        <v>1326.68</v>
      </c>
    </row>
    <row r="34" spans="2:20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>
        <v>25.47</v>
      </c>
      <c r="I34" s="20"/>
      <c r="J34" s="20">
        <f>E34-H34</f>
        <v>5324.53</v>
      </c>
      <c r="K34" s="20">
        <v>0</v>
      </c>
      <c r="L34" s="20">
        <v>588.20000000000005</v>
      </c>
      <c r="M34" s="20">
        <f t="shared" si="18"/>
        <v>588.20000000000005</v>
      </c>
      <c r="N34" s="15">
        <v>0</v>
      </c>
      <c r="O34" s="15">
        <f>E34*0.115</f>
        <v>615.25</v>
      </c>
      <c r="P34" s="15">
        <f t="shared" si="14"/>
        <v>1203.45</v>
      </c>
      <c r="Q34" s="18">
        <f t="shared" si="15"/>
        <v>4121.08</v>
      </c>
      <c r="R34" s="11">
        <v>256.68</v>
      </c>
      <c r="S34" s="11">
        <v>1070</v>
      </c>
      <c r="T34" s="35">
        <f t="shared" si="16"/>
        <v>1326.68</v>
      </c>
    </row>
    <row r="35" spans="2:20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20"/>
      <c r="I35" s="20"/>
      <c r="J35" s="20">
        <f t="shared" si="13"/>
        <v>5350</v>
      </c>
      <c r="K35" s="20">
        <v>0</v>
      </c>
      <c r="L35" s="20">
        <v>586.03</v>
      </c>
      <c r="M35" s="20">
        <v>588.02</v>
      </c>
      <c r="N35" s="15">
        <v>0</v>
      </c>
      <c r="O35" s="15">
        <f t="shared" si="17"/>
        <v>615.25</v>
      </c>
      <c r="P35" s="15">
        <f t="shared" si="14"/>
        <v>1203.27</v>
      </c>
      <c r="Q35" s="18">
        <f t="shared" si="15"/>
        <v>4146.7299999999996</v>
      </c>
      <c r="R35" s="11">
        <v>256.68</v>
      </c>
      <c r="S35" s="11">
        <v>1070</v>
      </c>
      <c r="T35" s="35">
        <f t="shared" si="16"/>
        <v>1326.68</v>
      </c>
    </row>
    <row r="36" spans="2:20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/>
      <c r="H36" s="15"/>
      <c r="I36" s="15"/>
      <c r="J36" s="15">
        <f t="shared" si="13"/>
        <v>5350</v>
      </c>
      <c r="K36" s="15">
        <v>0</v>
      </c>
      <c r="L36" s="15">
        <v>588.20000000000005</v>
      </c>
      <c r="M36" s="15">
        <f t="shared" si="18"/>
        <v>588.20000000000005</v>
      </c>
      <c r="N36" s="15">
        <v>0</v>
      </c>
      <c r="O36" s="15">
        <f t="shared" si="17"/>
        <v>615.25</v>
      </c>
      <c r="P36" s="15">
        <f t="shared" si="14"/>
        <v>1203.45</v>
      </c>
      <c r="Q36" s="18">
        <f t="shared" si="15"/>
        <v>4146.55</v>
      </c>
      <c r="R36" s="11">
        <v>256.68</v>
      </c>
      <c r="S36" s="11">
        <v>1070</v>
      </c>
      <c r="T36" s="35">
        <f t="shared" si="16"/>
        <v>1326.68</v>
      </c>
    </row>
    <row r="37" spans="2:20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/>
      <c r="I37" s="15"/>
      <c r="J37" s="15">
        <f t="shared" si="13"/>
        <v>5350</v>
      </c>
      <c r="K37" s="15">
        <v>0</v>
      </c>
      <c r="L37" s="15">
        <v>586.03</v>
      </c>
      <c r="M37" s="15">
        <v>588.20000000000005</v>
      </c>
      <c r="N37" s="15">
        <v>0</v>
      </c>
      <c r="O37" s="15">
        <f t="shared" si="17"/>
        <v>615.25</v>
      </c>
      <c r="P37" s="15">
        <f t="shared" si="14"/>
        <v>1203.45</v>
      </c>
      <c r="Q37" s="18">
        <f t="shared" si="15"/>
        <v>4146.55</v>
      </c>
      <c r="R37" s="11">
        <v>256.68</v>
      </c>
      <c r="S37" s="11">
        <v>1070</v>
      </c>
      <c r="T37" s="35">
        <f t="shared" si="16"/>
        <v>1326.68</v>
      </c>
    </row>
    <row r="38" spans="2:20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>
        <v>1784</v>
      </c>
      <c r="H38" s="15"/>
      <c r="I38" s="15"/>
      <c r="J38" s="15">
        <f t="shared" si="13"/>
        <v>5350</v>
      </c>
      <c r="K38" s="15">
        <v>0</v>
      </c>
      <c r="L38" s="15">
        <v>588.20000000000005</v>
      </c>
      <c r="M38" s="15">
        <f t="shared" si="18"/>
        <v>588.20000000000005</v>
      </c>
      <c r="N38" s="15">
        <v>0</v>
      </c>
      <c r="O38" s="15">
        <f t="shared" si="17"/>
        <v>615.25</v>
      </c>
      <c r="P38" s="15">
        <f t="shared" si="14"/>
        <v>2987.45</v>
      </c>
      <c r="Q38" s="18">
        <f t="shared" si="15"/>
        <v>2362.5500000000002</v>
      </c>
      <c r="R38" s="11">
        <v>256.68</v>
      </c>
      <c r="S38" s="11">
        <v>1070</v>
      </c>
      <c r="T38" s="35">
        <f t="shared" si="16"/>
        <v>1326.68</v>
      </c>
    </row>
    <row r="39" spans="2:20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/>
      <c r="J39" s="15">
        <f t="shared" si="13"/>
        <v>5350</v>
      </c>
      <c r="K39" s="15">
        <v>0</v>
      </c>
      <c r="L39" s="15">
        <v>588.20000000000005</v>
      </c>
      <c r="M39" s="15">
        <f t="shared" si="18"/>
        <v>588.20000000000005</v>
      </c>
      <c r="N39" s="15">
        <v>0</v>
      </c>
      <c r="O39" s="15">
        <f t="shared" si="17"/>
        <v>615.25</v>
      </c>
      <c r="P39" s="15">
        <f t="shared" si="14"/>
        <v>1203.45</v>
      </c>
      <c r="Q39" s="18">
        <f t="shared" si="15"/>
        <v>4146.55</v>
      </c>
      <c r="R39" s="11">
        <v>256.68</v>
      </c>
      <c r="S39" s="11">
        <v>1070</v>
      </c>
      <c r="T39" s="35">
        <f t="shared" si="16"/>
        <v>1326.68</v>
      </c>
    </row>
    <row r="40" spans="2:20" x14ac:dyDescent="0.25">
      <c r="B40" s="2" t="s">
        <v>26</v>
      </c>
      <c r="C40" s="30"/>
      <c r="D40" s="30"/>
      <c r="E40" s="34">
        <f>SUM(E29:E39)</f>
        <v>58850</v>
      </c>
      <c r="F40" s="34"/>
      <c r="G40" s="34"/>
      <c r="H40" s="34">
        <f>SUM(H29:H39)</f>
        <v>84.91</v>
      </c>
      <c r="I40" s="34">
        <f>SUM(I29:I39)</f>
        <v>0</v>
      </c>
      <c r="J40" s="34">
        <f>SUM(J29:J39)</f>
        <v>58765.09</v>
      </c>
      <c r="K40" s="34">
        <f t="shared" ref="K40:T40" si="19">SUM(K29:K39)</f>
        <v>0</v>
      </c>
      <c r="L40" s="34">
        <f t="shared" si="19"/>
        <v>6394.1699999999992</v>
      </c>
      <c r="M40" s="34">
        <f t="shared" si="19"/>
        <v>6469.84</v>
      </c>
      <c r="N40" s="34">
        <f t="shared" si="19"/>
        <v>0</v>
      </c>
      <c r="O40" s="34">
        <f t="shared" si="19"/>
        <v>6767.75</v>
      </c>
      <c r="P40" s="34">
        <f t="shared" si="19"/>
        <v>15616.59</v>
      </c>
      <c r="Q40" s="34">
        <f t="shared" si="19"/>
        <v>43148.500000000007</v>
      </c>
      <c r="R40" s="34">
        <f t="shared" si="19"/>
        <v>2823.4799999999996</v>
      </c>
      <c r="S40" s="34">
        <f t="shared" si="19"/>
        <v>11770</v>
      </c>
      <c r="T40" s="34">
        <f t="shared" si="19"/>
        <v>14593.480000000001</v>
      </c>
    </row>
    <row r="41" spans="2:20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20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20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20">
        <v>11.04</v>
      </c>
      <c r="I43" s="20"/>
      <c r="J43" s="20">
        <f>E43-H43</f>
        <v>5338.96</v>
      </c>
      <c r="K43" s="20">
        <v>0</v>
      </c>
      <c r="L43" s="20">
        <v>586.21</v>
      </c>
      <c r="M43" s="20">
        <v>588.20000000000005</v>
      </c>
      <c r="N43" s="15">
        <v>0</v>
      </c>
      <c r="O43" s="15">
        <f t="shared" ref="O43" si="20">E43*0.115</f>
        <v>615.25</v>
      </c>
      <c r="P43" s="15">
        <f>SUM(M43:O43)+G43</f>
        <v>1203.45</v>
      </c>
      <c r="Q43" s="18">
        <f>J43-P43</f>
        <v>4135.51</v>
      </c>
      <c r="R43" s="11">
        <v>256.68</v>
      </c>
      <c r="S43" s="11">
        <v>1070</v>
      </c>
      <c r="T43" s="35">
        <f t="shared" ref="T43:T44" si="21">R43+S43</f>
        <v>1326.68</v>
      </c>
    </row>
    <row r="44" spans="2:20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>
        <f>E44-H44</f>
        <v>5350</v>
      </c>
      <c r="K44" s="15">
        <v>0</v>
      </c>
      <c r="L44" s="15">
        <v>588.20000000000005</v>
      </c>
      <c r="M44" s="15">
        <v>588.20000000000005</v>
      </c>
      <c r="N44" s="15">
        <v>0</v>
      </c>
      <c r="O44" s="15">
        <f>J44*0.115</f>
        <v>615.25</v>
      </c>
      <c r="P44" s="15">
        <f>SUM(M44:O44)+G44</f>
        <v>1203.45</v>
      </c>
      <c r="Q44" s="18">
        <f>J44-P44</f>
        <v>4146.55</v>
      </c>
      <c r="R44" s="11">
        <v>256.68</v>
      </c>
      <c r="S44" s="11">
        <v>1070</v>
      </c>
      <c r="T44" s="35">
        <f t="shared" si="21"/>
        <v>1326.68</v>
      </c>
    </row>
    <row r="45" spans="2:20" x14ac:dyDescent="0.25">
      <c r="B45" s="2" t="s">
        <v>26</v>
      </c>
      <c r="C45" s="30"/>
      <c r="D45" s="30"/>
      <c r="E45" s="34">
        <f>E43+E44</f>
        <v>10700</v>
      </c>
      <c r="F45" s="34"/>
      <c r="G45" s="34"/>
      <c r="H45" s="34">
        <f>H43+H44</f>
        <v>11.04</v>
      </c>
      <c r="I45" s="34">
        <f>I43+I44</f>
        <v>0</v>
      </c>
      <c r="J45" s="34">
        <f t="shared" ref="J45:T45" si="22">J43+J44</f>
        <v>10688.96</v>
      </c>
      <c r="K45" s="34">
        <f t="shared" si="22"/>
        <v>0</v>
      </c>
      <c r="L45" s="34">
        <f t="shared" si="22"/>
        <v>1174.4100000000001</v>
      </c>
      <c r="M45" s="34">
        <f t="shared" si="22"/>
        <v>1176.4000000000001</v>
      </c>
      <c r="N45" s="34">
        <f t="shared" si="22"/>
        <v>0</v>
      </c>
      <c r="O45" s="34">
        <f t="shared" si="22"/>
        <v>1230.5</v>
      </c>
      <c r="P45" s="34">
        <f t="shared" si="22"/>
        <v>2406.9</v>
      </c>
      <c r="Q45" s="34">
        <f t="shared" si="22"/>
        <v>8282.0600000000013</v>
      </c>
      <c r="R45" s="34">
        <f t="shared" si="22"/>
        <v>513.36</v>
      </c>
      <c r="S45" s="34">
        <f t="shared" si="22"/>
        <v>2140</v>
      </c>
      <c r="T45" s="34">
        <f t="shared" si="22"/>
        <v>2653.36</v>
      </c>
    </row>
    <row r="46" spans="2:20" hidden="1" x14ac:dyDescent="0.25">
      <c r="B46" s="2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6"/>
      <c r="P46" s="16"/>
      <c r="Q46" s="16"/>
      <c r="R46" s="8"/>
      <c r="S46" s="8"/>
      <c r="T46" s="8"/>
    </row>
    <row r="47" spans="2:20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6"/>
      <c r="K47" s="16"/>
      <c r="L47" s="16"/>
      <c r="M47" s="16"/>
      <c r="N47" s="16"/>
      <c r="O47" s="16"/>
      <c r="P47" s="16"/>
      <c r="Q47" s="16"/>
      <c r="R47" s="8"/>
      <c r="S47" s="8"/>
      <c r="T47" s="8"/>
    </row>
    <row r="48" spans="2:20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>
        <f>E48-H48</f>
        <v>10000</v>
      </c>
      <c r="K48" s="15">
        <v>0</v>
      </c>
      <c r="L48" s="15">
        <v>1581.44</v>
      </c>
      <c r="M48" s="15">
        <f>L48-K48</f>
        <v>1581.44</v>
      </c>
      <c r="N48" s="15">
        <v>0</v>
      </c>
      <c r="O48" s="15">
        <f>E48*0.115</f>
        <v>1150</v>
      </c>
      <c r="P48" s="15">
        <f>SUM(M48:O48)+G48</f>
        <v>2731.44</v>
      </c>
      <c r="Q48" s="18">
        <f>J48-P48</f>
        <v>7268.5599999999995</v>
      </c>
      <c r="R48" s="11">
        <v>285.52999999999997</v>
      </c>
      <c r="S48" s="11">
        <v>2000</v>
      </c>
      <c r="T48" s="35">
        <f>R48+S48</f>
        <v>2285.5299999999997</v>
      </c>
    </row>
    <row r="49" spans="2:20" x14ac:dyDescent="0.25">
      <c r="B49" s="2" t="s">
        <v>26</v>
      </c>
      <c r="E49" s="34">
        <f>E48</f>
        <v>10000</v>
      </c>
      <c r="F49" s="34"/>
      <c r="G49" s="34"/>
      <c r="H49" s="34">
        <f>H48</f>
        <v>0</v>
      </c>
      <c r="I49" s="34">
        <f>I48</f>
        <v>0</v>
      </c>
      <c r="J49" s="34">
        <f t="shared" ref="J49:T49" si="23">J48</f>
        <v>10000</v>
      </c>
      <c r="K49" s="34">
        <f t="shared" si="23"/>
        <v>0</v>
      </c>
      <c r="L49" s="34">
        <f t="shared" si="23"/>
        <v>1581.44</v>
      </c>
      <c r="M49" s="34">
        <f t="shared" si="23"/>
        <v>1581.44</v>
      </c>
      <c r="N49" s="34">
        <f t="shared" si="23"/>
        <v>0</v>
      </c>
      <c r="O49" s="34">
        <f t="shared" si="23"/>
        <v>1150</v>
      </c>
      <c r="P49" s="34">
        <f t="shared" si="23"/>
        <v>2731.44</v>
      </c>
      <c r="Q49" s="34">
        <f t="shared" si="23"/>
        <v>7268.5599999999995</v>
      </c>
      <c r="R49" s="34">
        <f t="shared" si="23"/>
        <v>285.52999999999997</v>
      </c>
      <c r="S49" s="34">
        <f t="shared" si="23"/>
        <v>2000</v>
      </c>
      <c r="T49" s="34">
        <f t="shared" si="23"/>
        <v>2285.5299999999997</v>
      </c>
    </row>
    <row r="50" spans="2:20" ht="12" customHeight="1" x14ac:dyDescent="0.25">
      <c r="B50" s="2"/>
      <c r="E50" s="15"/>
      <c r="F50" s="15"/>
      <c r="G50" s="15"/>
      <c r="H50" s="15"/>
      <c r="I50" s="15"/>
      <c r="J50" s="16"/>
      <c r="K50" s="16"/>
      <c r="L50" s="16"/>
      <c r="M50" s="16"/>
      <c r="N50" s="16"/>
      <c r="O50" s="16"/>
      <c r="P50" s="16"/>
      <c r="Q50" s="16"/>
      <c r="R50" s="8"/>
      <c r="S50" s="8"/>
      <c r="T50" s="8"/>
    </row>
    <row r="51" spans="2:20" hidden="1" x14ac:dyDescent="0.25"/>
    <row r="52" spans="2:20" ht="18.75" x14ac:dyDescent="0.3">
      <c r="C52" s="53" t="s">
        <v>105</v>
      </c>
      <c r="E52" s="17">
        <f>E9+E20+E26+E40+E45+E49</f>
        <v>158954.95000000001</v>
      </c>
      <c r="F52" s="17"/>
      <c r="G52" s="17"/>
      <c r="H52" s="17">
        <f t="shared" ref="H52:T52" si="24">H9+H20+H26+H40+H45+H49</f>
        <v>95.949999999999989</v>
      </c>
      <c r="I52" s="17">
        <f t="shared" si="24"/>
        <v>0</v>
      </c>
      <c r="J52" s="17">
        <f t="shared" si="24"/>
        <v>158858.99999999997</v>
      </c>
      <c r="K52" s="17">
        <f t="shared" si="24"/>
        <v>274.08999999999997</v>
      </c>
      <c r="L52" s="17">
        <f t="shared" si="24"/>
        <v>19284.05</v>
      </c>
      <c r="M52" s="17">
        <f t="shared" si="24"/>
        <v>19225.250000000004</v>
      </c>
      <c r="N52" s="17">
        <f t="shared" si="24"/>
        <v>0</v>
      </c>
      <c r="O52" s="17">
        <f t="shared" si="24"/>
        <v>18279.81925</v>
      </c>
      <c r="P52" s="17">
        <f t="shared" si="24"/>
        <v>45203.069250000008</v>
      </c>
      <c r="Q52" s="54">
        <f t="shared" si="24"/>
        <v>113655.93075</v>
      </c>
      <c r="R52" s="17">
        <f t="shared" si="24"/>
        <v>7020.3799999999992</v>
      </c>
      <c r="S52" s="17">
        <f t="shared" si="24"/>
        <v>31790.989999999998</v>
      </c>
      <c r="T52" s="55">
        <f t="shared" si="24"/>
        <v>38811.370000000003</v>
      </c>
    </row>
    <row r="55" spans="2:20" ht="15.75" thickBot="1" x14ac:dyDescent="0.3">
      <c r="E55" s="89"/>
      <c r="F55" s="89"/>
      <c r="G55" s="57"/>
      <c r="O55" s="90"/>
      <c r="P55" s="90"/>
    </row>
    <row r="56" spans="2:20" x14ac:dyDescent="0.25">
      <c r="E56" s="91" t="s">
        <v>177</v>
      </c>
      <c r="F56" s="91"/>
      <c r="G56" s="58"/>
      <c r="O56" s="26"/>
      <c r="P56" s="26"/>
      <c r="Q56" s="92" t="s">
        <v>157</v>
      </c>
      <c r="R56" s="92"/>
    </row>
    <row r="60" spans="2:20" x14ac:dyDescent="0.25">
      <c r="C60" t="s">
        <v>174</v>
      </c>
    </row>
  </sheetData>
  <mergeCells count="5">
    <mergeCell ref="B4:T4"/>
    <mergeCell ref="E55:F55"/>
    <mergeCell ref="O55:P55"/>
    <mergeCell ref="E56:F56"/>
    <mergeCell ref="Q56:R56"/>
  </mergeCells>
  <pageMargins left="0.51181102362204722" right="0.51181102362204722" top="0.15748031496062992" bottom="0.35433070866141736" header="0.31496062992125984" footer="0.31496062992125984"/>
  <pageSetup paperSize="300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61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5" x14ac:dyDescent="0.25"/>
  <cols>
    <col min="2" max="2" width="33.42578125" customWidth="1"/>
    <col min="3" max="3" width="27" customWidth="1"/>
    <col min="4" max="4" width="18.42578125" customWidth="1"/>
    <col min="5" max="5" width="18.7109375" customWidth="1"/>
    <col min="7" max="7" width="17.7109375" customWidth="1"/>
    <col min="8" max="8" width="16" customWidth="1"/>
    <col min="12" max="12" width="17.42578125" customWidth="1"/>
    <col min="13" max="13" width="16.140625" customWidth="1"/>
    <col min="14" max="14" width="16.42578125" customWidth="1"/>
    <col min="15" max="15" width="17.28515625" customWidth="1"/>
    <col min="16" max="16" width="19.28515625" customWidth="1"/>
  </cols>
  <sheetData>
    <row r="1" spans="1:16" ht="18.75" x14ac:dyDescent="0.25">
      <c r="B1" s="6" t="s">
        <v>108</v>
      </c>
    </row>
    <row r="2" spans="1:16" ht="15.75" thickBot="1" x14ac:dyDescent="0.3"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35.25" thickTop="1" thickBot="1" x14ac:dyDescent="0.3">
      <c r="A3" s="42" t="s">
        <v>9</v>
      </c>
      <c r="B3" s="43" t="s">
        <v>10</v>
      </c>
      <c r="C3" s="43" t="s">
        <v>0</v>
      </c>
      <c r="D3" s="43" t="s">
        <v>11</v>
      </c>
      <c r="E3" s="43" t="s">
        <v>12</v>
      </c>
      <c r="F3" s="43" t="s">
        <v>107</v>
      </c>
      <c r="G3" s="43" t="s">
        <v>13</v>
      </c>
      <c r="H3" s="43" t="s">
        <v>14</v>
      </c>
      <c r="I3" s="43" t="s">
        <v>15</v>
      </c>
      <c r="J3" s="43" t="s">
        <v>106</v>
      </c>
      <c r="K3" s="43" t="s">
        <v>16</v>
      </c>
      <c r="L3" s="43" t="s">
        <v>17</v>
      </c>
      <c r="M3" s="43" t="s">
        <v>72</v>
      </c>
      <c r="N3" s="43" t="s">
        <v>8</v>
      </c>
      <c r="O3" s="43" t="s">
        <v>18</v>
      </c>
      <c r="P3" s="43" t="s">
        <v>73</v>
      </c>
    </row>
    <row r="4" spans="1:16" ht="15.75" thickTop="1" x14ac:dyDescent="0.25">
      <c r="A4" s="2" t="s">
        <v>19</v>
      </c>
      <c r="B4" s="2" t="s">
        <v>20</v>
      </c>
      <c r="C4" s="2"/>
    </row>
    <row r="5" spans="1:16" x14ac:dyDescent="0.25">
      <c r="A5" t="s">
        <v>21</v>
      </c>
      <c r="B5" t="s">
        <v>22</v>
      </c>
      <c r="C5" t="s">
        <v>25</v>
      </c>
      <c r="D5">
        <v>16954.95</v>
      </c>
      <c r="E5">
        <f>D5</f>
        <v>16954.95</v>
      </c>
      <c r="F5" s="15">
        <v>0</v>
      </c>
      <c r="G5">
        <v>3246.93</v>
      </c>
      <c r="H5">
        <v>188.65</v>
      </c>
      <c r="I5" s="15">
        <v>0</v>
      </c>
      <c r="J5" s="15">
        <v>0</v>
      </c>
      <c r="K5" s="15">
        <v>0</v>
      </c>
      <c r="L5">
        <f>SUM(F5:K5)</f>
        <v>3435.58</v>
      </c>
      <c r="M5" s="5">
        <f>E5-L5</f>
        <v>13519.37</v>
      </c>
      <c r="N5" s="10">
        <v>1223.77</v>
      </c>
      <c r="O5" s="10">
        <v>2797.56</v>
      </c>
      <c r="P5" s="35">
        <f>SUM(N5:O5)</f>
        <v>4021.33</v>
      </c>
    </row>
    <row r="6" spans="1:16" x14ac:dyDescent="0.25">
      <c r="A6" t="s">
        <v>23</v>
      </c>
      <c r="B6" t="s">
        <v>24</v>
      </c>
      <c r="C6" t="s">
        <v>3</v>
      </c>
      <c r="D6">
        <v>4850</v>
      </c>
      <c r="E6">
        <f t="shared" ref="E6:E7" si="0">D6</f>
        <v>4850</v>
      </c>
      <c r="F6" s="15">
        <v>0</v>
      </c>
      <c r="G6">
        <v>491.69</v>
      </c>
      <c r="H6">
        <v>44.835000000000001</v>
      </c>
      <c r="I6" s="15">
        <v>0</v>
      </c>
      <c r="J6" s="15">
        <v>0</v>
      </c>
      <c r="K6" s="15">
        <v>0</v>
      </c>
      <c r="L6">
        <f t="shared" ref="L6:L7" si="1">SUM(F6:K6)</f>
        <v>536.52499999999998</v>
      </c>
      <c r="M6" s="5">
        <f t="shared" ref="M6:M18" si="2">E6-L6</f>
        <v>4313.4750000000004</v>
      </c>
      <c r="N6" s="10">
        <v>480.14</v>
      </c>
      <c r="O6" s="10">
        <v>800.25</v>
      </c>
      <c r="P6" s="35">
        <f t="shared" ref="P6:P7" si="3">SUM(N6:O6)</f>
        <v>1280.3899999999999</v>
      </c>
    </row>
    <row r="7" spans="1:16" x14ac:dyDescent="0.25">
      <c r="A7" t="s">
        <v>41</v>
      </c>
      <c r="B7" t="s">
        <v>42</v>
      </c>
      <c r="C7" t="s">
        <v>2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 t="shared" si="1"/>
        <v>0</v>
      </c>
      <c r="M7" s="12">
        <f t="shared" si="2"/>
        <v>0</v>
      </c>
      <c r="N7" s="27">
        <v>0</v>
      </c>
      <c r="O7" s="27">
        <v>0</v>
      </c>
      <c r="P7" s="35">
        <f t="shared" si="3"/>
        <v>0</v>
      </c>
    </row>
    <row r="8" spans="1:16" x14ac:dyDescent="0.25">
      <c r="A8" s="7" t="s">
        <v>26</v>
      </c>
      <c r="D8" s="34">
        <f>SUM(D5:D7)</f>
        <v>21804.95</v>
      </c>
      <c r="E8" s="34">
        <f t="shared" ref="E8:P8" si="4">SUM(E5:E7)</f>
        <v>21804.95</v>
      </c>
      <c r="F8" s="34">
        <f t="shared" si="4"/>
        <v>0</v>
      </c>
      <c r="G8" s="34">
        <f t="shared" si="4"/>
        <v>3738.62</v>
      </c>
      <c r="H8" s="34">
        <f t="shared" si="4"/>
        <v>233.48500000000001</v>
      </c>
      <c r="I8" s="34">
        <f t="shared" si="4"/>
        <v>0</v>
      </c>
      <c r="J8" s="34">
        <f t="shared" si="4"/>
        <v>0</v>
      </c>
      <c r="K8" s="34">
        <f t="shared" si="4"/>
        <v>0</v>
      </c>
      <c r="L8" s="34">
        <f t="shared" si="4"/>
        <v>3972.105</v>
      </c>
      <c r="M8" s="34">
        <f t="shared" si="4"/>
        <v>17832.845000000001</v>
      </c>
      <c r="N8" s="34">
        <f t="shared" si="4"/>
        <v>1703.9099999999999</v>
      </c>
      <c r="O8" s="34">
        <f t="shared" si="4"/>
        <v>3597.81</v>
      </c>
      <c r="P8" s="34">
        <f t="shared" si="4"/>
        <v>5301.7199999999993</v>
      </c>
    </row>
    <row r="10" spans="1:16" x14ac:dyDescent="0.25">
      <c r="A10" s="2" t="s">
        <v>27</v>
      </c>
      <c r="B10" s="2" t="s">
        <v>28</v>
      </c>
    </row>
    <row r="11" spans="1:16" x14ac:dyDescent="0.25">
      <c r="A11" t="s">
        <v>29</v>
      </c>
      <c r="B11" t="s">
        <v>37</v>
      </c>
      <c r="C11" t="s">
        <v>1</v>
      </c>
      <c r="D11" s="15">
        <v>0</v>
      </c>
      <c r="E11" s="15">
        <f t="shared" ref="E11:E14" si="5">D11</f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f>SUM(F11:K11)</f>
        <v>0</v>
      </c>
      <c r="M11" s="12">
        <f t="shared" si="2"/>
        <v>0</v>
      </c>
      <c r="N11" s="27">
        <v>0</v>
      </c>
      <c r="O11" s="27">
        <v>0</v>
      </c>
      <c r="P11" s="35">
        <v>0</v>
      </c>
    </row>
    <row r="12" spans="1:16" x14ac:dyDescent="0.25">
      <c r="A12" t="s">
        <v>30</v>
      </c>
      <c r="B12" t="s">
        <v>38</v>
      </c>
      <c r="C12" t="s">
        <v>74</v>
      </c>
      <c r="D12" s="15">
        <v>0</v>
      </c>
      <c r="E12" s="15">
        <f t="shared" si="5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ref="L12:L16" si="6">SUM(F12:K12)</f>
        <v>0</v>
      </c>
      <c r="M12" s="12">
        <f t="shared" si="2"/>
        <v>0</v>
      </c>
      <c r="N12" s="27">
        <v>0</v>
      </c>
      <c r="O12" s="27">
        <v>0</v>
      </c>
      <c r="P12" s="35">
        <v>0</v>
      </c>
    </row>
    <row r="13" spans="1:16" x14ac:dyDescent="0.25">
      <c r="A13" t="s">
        <v>31</v>
      </c>
      <c r="B13" t="s">
        <v>90</v>
      </c>
      <c r="C13" t="s">
        <v>75</v>
      </c>
      <c r="D13" s="15">
        <v>0</v>
      </c>
      <c r="E13" s="15">
        <f t="shared" si="5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6"/>
        <v>0</v>
      </c>
      <c r="M13" s="12">
        <f t="shared" si="2"/>
        <v>0</v>
      </c>
      <c r="N13" s="27">
        <v>0</v>
      </c>
      <c r="O13" s="27">
        <v>0</v>
      </c>
      <c r="P13" s="35">
        <v>0</v>
      </c>
    </row>
    <row r="14" spans="1:16" x14ac:dyDescent="0.25">
      <c r="A14" t="s">
        <v>32</v>
      </c>
      <c r="B14" t="s">
        <v>90</v>
      </c>
      <c r="C14" t="s">
        <v>77</v>
      </c>
      <c r="D14" s="15">
        <v>0</v>
      </c>
      <c r="E14" s="15">
        <f t="shared" si="5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6"/>
        <v>0</v>
      </c>
      <c r="M14" s="12">
        <f t="shared" si="2"/>
        <v>0</v>
      </c>
      <c r="N14" s="27">
        <v>0</v>
      </c>
      <c r="O14" s="27">
        <v>0</v>
      </c>
      <c r="P14" s="35">
        <v>0</v>
      </c>
    </row>
    <row r="15" spans="1:16" x14ac:dyDescent="0.25">
      <c r="A15" t="s">
        <v>33</v>
      </c>
      <c r="B15" t="s">
        <v>86</v>
      </c>
      <c r="C15" t="s">
        <v>5</v>
      </c>
      <c r="D15">
        <v>5000</v>
      </c>
      <c r="E15">
        <f>D15</f>
        <v>5000</v>
      </c>
      <c r="F15" s="15">
        <v>0</v>
      </c>
      <c r="G15">
        <v>518.57000000000005</v>
      </c>
      <c r="H15">
        <v>46.61</v>
      </c>
      <c r="I15" s="15">
        <v>0</v>
      </c>
      <c r="J15" s="15">
        <v>0</v>
      </c>
      <c r="K15" s="15">
        <v>0</v>
      </c>
      <c r="L15">
        <f t="shared" si="6"/>
        <v>565.18000000000006</v>
      </c>
      <c r="M15" s="5">
        <f t="shared" si="2"/>
        <v>4434.82</v>
      </c>
      <c r="N15" s="10">
        <v>489.36</v>
      </c>
      <c r="O15" s="10">
        <v>825</v>
      </c>
      <c r="P15" s="35">
        <f>N15+O15</f>
        <v>1314.3600000000001</v>
      </c>
    </row>
    <row r="16" spans="1:16" x14ac:dyDescent="0.25">
      <c r="A16" t="s">
        <v>34</v>
      </c>
      <c r="B16" t="s">
        <v>87</v>
      </c>
      <c r="C16" t="s">
        <v>39</v>
      </c>
      <c r="D16">
        <v>4500</v>
      </c>
      <c r="E16">
        <f t="shared" ref="E16:E17" si="7">D16</f>
        <v>4500</v>
      </c>
      <c r="F16" s="15">
        <v>0</v>
      </c>
      <c r="G16">
        <v>428.97</v>
      </c>
      <c r="H16">
        <v>40.67</v>
      </c>
      <c r="I16" s="15">
        <v>0</v>
      </c>
      <c r="J16" s="15">
        <v>0</v>
      </c>
      <c r="K16" s="15">
        <v>0</v>
      </c>
      <c r="L16">
        <f t="shared" si="6"/>
        <v>469.64000000000004</v>
      </c>
      <c r="M16" s="5">
        <f t="shared" si="2"/>
        <v>4030.36</v>
      </c>
      <c r="N16" s="10">
        <v>458.64</v>
      </c>
      <c r="O16" s="10">
        <v>742.5</v>
      </c>
      <c r="P16" s="35">
        <f t="shared" ref="P16:P18" si="8">N16+O16</f>
        <v>1201.1399999999999</v>
      </c>
    </row>
    <row r="17" spans="1:16" x14ac:dyDescent="0.25">
      <c r="A17" t="s">
        <v>35</v>
      </c>
      <c r="B17" t="s">
        <v>89</v>
      </c>
      <c r="C17" t="s">
        <v>4</v>
      </c>
      <c r="D17">
        <v>2700</v>
      </c>
      <c r="E17">
        <f t="shared" si="7"/>
        <v>2700</v>
      </c>
      <c r="F17" s="15">
        <v>0</v>
      </c>
      <c r="G17">
        <v>188.33</v>
      </c>
      <c r="H17">
        <v>19.29</v>
      </c>
      <c r="I17" s="15">
        <v>0</v>
      </c>
      <c r="J17" s="15">
        <v>0</v>
      </c>
      <c r="K17" s="15">
        <v>0</v>
      </c>
      <c r="L17">
        <f>SUM(F17:K17)</f>
        <v>207.62</v>
      </c>
      <c r="M17" s="5">
        <f t="shared" si="2"/>
        <v>2492.38</v>
      </c>
      <c r="N17" s="10">
        <v>348.07</v>
      </c>
      <c r="O17" s="10">
        <v>445.5</v>
      </c>
      <c r="P17" s="35">
        <f t="shared" si="8"/>
        <v>793.56999999999994</v>
      </c>
    </row>
    <row r="18" spans="1:16" x14ac:dyDescent="0.25">
      <c r="A18" t="s">
        <v>36</v>
      </c>
      <c r="B18" t="s">
        <v>88</v>
      </c>
      <c r="C18" t="s">
        <v>40</v>
      </c>
      <c r="D18">
        <v>3150</v>
      </c>
      <c r="E18">
        <f>SUM(D18:D18)</f>
        <v>3150</v>
      </c>
      <c r="F18" s="15">
        <v>0</v>
      </c>
      <c r="G18">
        <v>237.29</v>
      </c>
      <c r="H18">
        <v>24.64</v>
      </c>
      <c r="I18" s="15">
        <v>0</v>
      </c>
      <c r="J18" s="15">
        <v>0</v>
      </c>
      <c r="K18" s="15">
        <v>0</v>
      </c>
      <c r="L18">
        <f>SUM(F18:K18)</f>
        <v>261.93</v>
      </c>
      <c r="M18" s="5">
        <f t="shared" si="2"/>
        <v>2888.07</v>
      </c>
      <c r="N18" s="10">
        <v>375.71</v>
      </c>
      <c r="O18" s="10">
        <v>519.75</v>
      </c>
      <c r="P18" s="35">
        <f t="shared" si="8"/>
        <v>895.46</v>
      </c>
    </row>
    <row r="19" spans="1:16" x14ac:dyDescent="0.25">
      <c r="A19" s="2" t="s">
        <v>26</v>
      </c>
      <c r="D19" s="34">
        <f>SUM(D11:D18)</f>
        <v>15350</v>
      </c>
      <c r="E19" s="34">
        <f>SUM(E11:E18)</f>
        <v>15350</v>
      </c>
      <c r="F19" s="34">
        <f t="shared" ref="F19:P19" si="9">SUM(F11:F18)</f>
        <v>0</v>
      </c>
      <c r="G19" s="34">
        <f t="shared" si="9"/>
        <v>1373.16</v>
      </c>
      <c r="H19" s="34">
        <f t="shared" si="9"/>
        <v>131.20999999999998</v>
      </c>
      <c r="I19" s="34">
        <f t="shared" si="9"/>
        <v>0</v>
      </c>
      <c r="J19" s="34">
        <f t="shared" si="9"/>
        <v>0</v>
      </c>
      <c r="K19" s="34">
        <f t="shared" si="9"/>
        <v>0</v>
      </c>
      <c r="L19" s="34">
        <f t="shared" si="9"/>
        <v>1504.3700000000001</v>
      </c>
      <c r="M19" s="34">
        <f t="shared" si="9"/>
        <v>13845.630000000001</v>
      </c>
      <c r="N19" s="34">
        <f t="shared" si="9"/>
        <v>1671.78</v>
      </c>
      <c r="O19" s="34">
        <f t="shared" si="9"/>
        <v>2532.75</v>
      </c>
      <c r="P19" s="34">
        <f t="shared" si="9"/>
        <v>4204.53</v>
      </c>
    </row>
    <row r="20" spans="1:16" x14ac:dyDescent="0.25">
      <c r="A20" s="2"/>
    </row>
    <row r="21" spans="1:16" x14ac:dyDescent="0.25">
      <c r="A21" s="2" t="s">
        <v>43</v>
      </c>
      <c r="B21" s="2" t="s">
        <v>44</v>
      </c>
    </row>
    <row r="22" spans="1:16" x14ac:dyDescent="0.25">
      <c r="A22" t="s">
        <v>45</v>
      </c>
      <c r="B22" t="s">
        <v>90</v>
      </c>
      <c r="C22" t="s">
        <v>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>SUM(D22:K22)</f>
        <v>0</v>
      </c>
      <c r="M22" s="12">
        <v>0</v>
      </c>
      <c r="N22" s="27">
        <v>0</v>
      </c>
      <c r="O22" s="27">
        <v>0</v>
      </c>
      <c r="P22" s="35">
        <v>0</v>
      </c>
    </row>
    <row r="23" spans="1:16" x14ac:dyDescent="0.25">
      <c r="A23" t="s">
        <v>46</v>
      </c>
      <c r="B23" t="s">
        <v>91</v>
      </c>
      <c r="C23" t="s">
        <v>76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f>SUM(D23:K23)</f>
        <v>0</v>
      </c>
      <c r="M23" s="12">
        <v>0</v>
      </c>
      <c r="N23" s="27">
        <v>0</v>
      </c>
      <c r="O23" s="27">
        <v>0</v>
      </c>
      <c r="P23" s="35">
        <v>0</v>
      </c>
    </row>
    <row r="24" spans="1:16" x14ac:dyDescent="0.25">
      <c r="A24" s="2" t="s">
        <v>26</v>
      </c>
      <c r="D24" s="34">
        <f>SUM(D22:D23)</f>
        <v>0</v>
      </c>
      <c r="E24" s="34">
        <f t="shared" ref="E24:P24" si="10">SUM(E22:E23)</f>
        <v>0</v>
      </c>
      <c r="F24" s="34">
        <f t="shared" si="10"/>
        <v>0</v>
      </c>
      <c r="G24" s="34">
        <f t="shared" si="10"/>
        <v>0</v>
      </c>
      <c r="H24" s="34">
        <f t="shared" si="10"/>
        <v>0</v>
      </c>
      <c r="I24" s="34">
        <f t="shared" si="10"/>
        <v>0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0</v>
      </c>
      <c r="N24" s="34">
        <f t="shared" si="10"/>
        <v>0</v>
      </c>
      <c r="O24" s="34">
        <f t="shared" si="10"/>
        <v>0</v>
      </c>
      <c r="P24" s="34">
        <f t="shared" si="10"/>
        <v>0</v>
      </c>
    </row>
    <row r="26" spans="1:16" x14ac:dyDescent="0.25">
      <c r="A26" s="2" t="s">
        <v>43</v>
      </c>
      <c r="B26" s="2" t="s">
        <v>47</v>
      </c>
    </row>
    <row r="27" spans="1:16" x14ac:dyDescent="0.25">
      <c r="A27" t="s">
        <v>48</v>
      </c>
      <c r="B27" t="s">
        <v>93</v>
      </c>
      <c r="C27" t="s">
        <v>78</v>
      </c>
      <c r="D27">
        <v>5350</v>
      </c>
      <c r="E27">
        <f>D27</f>
        <v>5350</v>
      </c>
      <c r="F27" s="15">
        <v>0</v>
      </c>
      <c r="G27">
        <v>588.20000000000005</v>
      </c>
      <c r="H27">
        <v>50.77</v>
      </c>
      <c r="I27" s="15">
        <v>0</v>
      </c>
      <c r="J27" s="15">
        <v>0</v>
      </c>
      <c r="K27" s="15">
        <v>0</v>
      </c>
      <c r="L27">
        <f>SUM(F27:K27)</f>
        <v>638.97</v>
      </c>
      <c r="M27" s="5">
        <f>E27-L27</f>
        <v>4711.03</v>
      </c>
      <c r="N27" s="10">
        <v>510.86</v>
      </c>
      <c r="O27" s="10">
        <v>882.75</v>
      </c>
      <c r="P27" s="35">
        <f>N27+O27</f>
        <v>1393.6100000000001</v>
      </c>
    </row>
    <row r="28" spans="1:16" x14ac:dyDescent="0.25">
      <c r="A28" t="s">
        <v>49</v>
      </c>
      <c r="B28" t="s">
        <v>90</v>
      </c>
      <c r="C28" t="s">
        <v>79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>SUM(F28:K28)</f>
        <v>0</v>
      </c>
      <c r="M28" s="12">
        <v>0</v>
      </c>
      <c r="N28" s="27">
        <v>0</v>
      </c>
      <c r="O28" s="27">
        <v>0</v>
      </c>
      <c r="P28" s="35">
        <v>0</v>
      </c>
    </row>
    <row r="29" spans="1:16" x14ac:dyDescent="0.25">
      <c r="A29" s="2" t="s">
        <v>26</v>
      </c>
      <c r="D29" s="34">
        <f>SUM(D27:D28)</f>
        <v>5350</v>
      </c>
      <c r="E29" s="34">
        <f t="shared" ref="E29:P29" si="11">SUM(E27:E28)</f>
        <v>5350</v>
      </c>
      <c r="F29" s="34">
        <f t="shared" si="11"/>
        <v>0</v>
      </c>
      <c r="G29" s="34">
        <f t="shared" si="11"/>
        <v>588.20000000000005</v>
      </c>
      <c r="H29" s="34">
        <f t="shared" si="11"/>
        <v>50.77</v>
      </c>
      <c r="I29" s="34">
        <f t="shared" si="11"/>
        <v>0</v>
      </c>
      <c r="J29" s="34">
        <f t="shared" si="11"/>
        <v>0</v>
      </c>
      <c r="K29" s="34">
        <f t="shared" si="11"/>
        <v>0</v>
      </c>
      <c r="L29" s="34">
        <f t="shared" si="11"/>
        <v>638.97</v>
      </c>
      <c r="M29" s="34">
        <f t="shared" si="11"/>
        <v>4711.03</v>
      </c>
      <c r="N29" s="34">
        <f t="shared" si="11"/>
        <v>510.86</v>
      </c>
      <c r="O29" s="34">
        <f t="shared" si="11"/>
        <v>882.75</v>
      </c>
      <c r="P29" s="34">
        <f t="shared" si="11"/>
        <v>1393.6100000000001</v>
      </c>
    </row>
    <row r="31" spans="1:16" x14ac:dyDescent="0.25">
      <c r="A31" s="2" t="s">
        <v>50</v>
      </c>
      <c r="B31" s="2" t="s">
        <v>51</v>
      </c>
    </row>
    <row r="32" spans="1:16" x14ac:dyDescent="0.25">
      <c r="A32" t="s">
        <v>52</v>
      </c>
      <c r="B32" t="s">
        <v>97</v>
      </c>
      <c r="C32" t="s">
        <v>80</v>
      </c>
      <c r="D32">
        <v>5350</v>
      </c>
      <c r="E32">
        <f t="shared" ref="E32:E42" si="12">D32</f>
        <v>5350</v>
      </c>
      <c r="F32" s="15">
        <v>0</v>
      </c>
      <c r="G32">
        <v>588.20000000000005</v>
      </c>
      <c r="H32">
        <v>50.77</v>
      </c>
      <c r="I32" s="15">
        <v>0</v>
      </c>
      <c r="J32" s="15">
        <v>0</v>
      </c>
      <c r="K32" s="15">
        <v>0</v>
      </c>
      <c r="L32">
        <f>SUM(F32:K32)</f>
        <v>638.97</v>
      </c>
      <c r="M32" s="5">
        <f t="shared" ref="M32:M42" si="13">E32-L32</f>
        <v>4711.03</v>
      </c>
      <c r="N32" s="10">
        <v>510.86</v>
      </c>
      <c r="O32" s="10">
        <v>882.75</v>
      </c>
      <c r="P32" s="35">
        <f t="shared" ref="P32:P42" si="14">N32+O32</f>
        <v>1393.6100000000001</v>
      </c>
    </row>
    <row r="33" spans="1:16" x14ac:dyDescent="0.25">
      <c r="A33" t="s">
        <v>53</v>
      </c>
      <c r="B33" t="s">
        <v>100</v>
      </c>
      <c r="C33" t="s">
        <v>80</v>
      </c>
      <c r="D33">
        <v>5350</v>
      </c>
      <c r="E33">
        <f t="shared" si="12"/>
        <v>5350</v>
      </c>
      <c r="F33" s="15">
        <v>0</v>
      </c>
      <c r="G33">
        <v>588.20000000000005</v>
      </c>
      <c r="H33">
        <v>50.77</v>
      </c>
      <c r="I33" s="15">
        <v>0</v>
      </c>
      <c r="J33" s="15">
        <v>0</v>
      </c>
      <c r="K33" s="15">
        <v>0</v>
      </c>
      <c r="L33">
        <f t="shared" ref="L33:L42" si="15">SUM(F33:K33)</f>
        <v>638.97</v>
      </c>
      <c r="M33" s="5">
        <f t="shared" si="13"/>
        <v>4711.03</v>
      </c>
      <c r="N33" s="10">
        <v>510.86</v>
      </c>
      <c r="O33" s="10">
        <v>882.75</v>
      </c>
      <c r="P33" s="35">
        <f t="shared" si="14"/>
        <v>1393.6100000000001</v>
      </c>
    </row>
    <row r="34" spans="1:16" x14ac:dyDescent="0.25">
      <c r="A34" t="s">
        <v>54</v>
      </c>
      <c r="B34" t="s">
        <v>96</v>
      </c>
      <c r="C34" t="s">
        <v>78</v>
      </c>
      <c r="D34">
        <v>5350</v>
      </c>
      <c r="E34">
        <f t="shared" si="12"/>
        <v>5350</v>
      </c>
      <c r="F34" s="15">
        <v>0</v>
      </c>
      <c r="G34">
        <v>588.20000000000005</v>
      </c>
      <c r="H34">
        <v>50.77</v>
      </c>
      <c r="I34" s="15">
        <v>0</v>
      </c>
      <c r="J34" s="15">
        <v>0</v>
      </c>
      <c r="K34" s="15">
        <v>0</v>
      </c>
      <c r="L34">
        <f t="shared" si="15"/>
        <v>638.97</v>
      </c>
      <c r="M34" s="5">
        <f t="shared" si="13"/>
        <v>4711.03</v>
      </c>
      <c r="N34" s="10">
        <v>510.86</v>
      </c>
      <c r="O34" s="10">
        <v>882.75</v>
      </c>
      <c r="P34" s="35">
        <f t="shared" si="14"/>
        <v>1393.6100000000001</v>
      </c>
    </row>
    <row r="35" spans="1:16" x14ac:dyDescent="0.25">
      <c r="A35" t="s">
        <v>55</v>
      </c>
      <c r="B35" t="s">
        <v>104</v>
      </c>
      <c r="C35" t="s">
        <v>78</v>
      </c>
      <c r="D35">
        <v>5350</v>
      </c>
      <c r="E35">
        <f t="shared" si="12"/>
        <v>5350</v>
      </c>
      <c r="F35" s="15">
        <v>0</v>
      </c>
      <c r="G35">
        <v>588.20000000000005</v>
      </c>
      <c r="H35">
        <v>50.77</v>
      </c>
      <c r="I35" s="15">
        <v>0</v>
      </c>
      <c r="J35" s="15">
        <v>0</v>
      </c>
      <c r="K35" s="15">
        <v>0</v>
      </c>
      <c r="L35">
        <f t="shared" si="15"/>
        <v>638.97</v>
      </c>
      <c r="M35" s="5">
        <f t="shared" si="13"/>
        <v>4711.03</v>
      </c>
      <c r="N35" s="10">
        <v>510.86</v>
      </c>
      <c r="O35" s="10">
        <v>882.75</v>
      </c>
      <c r="P35" s="35">
        <f t="shared" si="14"/>
        <v>1393.6100000000001</v>
      </c>
    </row>
    <row r="36" spans="1:16" x14ac:dyDescent="0.25">
      <c r="A36" t="s">
        <v>56</v>
      </c>
      <c r="B36" t="s">
        <v>94</v>
      </c>
      <c r="C36" t="s">
        <v>81</v>
      </c>
      <c r="D36">
        <v>5350</v>
      </c>
      <c r="E36">
        <f t="shared" si="12"/>
        <v>5350</v>
      </c>
      <c r="F36" s="15">
        <v>0</v>
      </c>
      <c r="G36">
        <v>588.20000000000005</v>
      </c>
      <c r="H36">
        <v>50.77</v>
      </c>
      <c r="I36" s="15">
        <v>0</v>
      </c>
      <c r="J36" s="15">
        <v>0</v>
      </c>
      <c r="K36" s="15">
        <v>0</v>
      </c>
      <c r="L36">
        <f t="shared" si="15"/>
        <v>638.97</v>
      </c>
      <c r="M36" s="5">
        <f t="shared" si="13"/>
        <v>4711.03</v>
      </c>
      <c r="N36" s="10">
        <v>510.86</v>
      </c>
      <c r="O36" s="10">
        <v>882.75</v>
      </c>
      <c r="P36" s="35">
        <f t="shared" si="14"/>
        <v>1393.6100000000001</v>
      </c>
    </row>
    <row r="37" spans="1:16" x14ac:dyDescent="0.25">
      <c r="A37" t="s">
        <v>57</v>
      </c>
      <c r="B37" t="s">
        <v>98</v>
      </c>
      <c r="C37" t="s">
        <v>81</v>
      </c>
      <c r="D37">
        <v>5350</v>
      </c>
      <c r="E37">
        <f t="shared" si="12"/>
        <v>5350</v>
      </c>
      <c r="F37" s="15">
        <v>0</v>
      </c>
      <c r="G37">
        <v>588.20000000000005</v>
      </c>
      <c r="H37">
        <v>50.77</v>
      </c>
      <c r="I37" s="15">
        <v>0</v>
      </c>
      <c r="J37" s="15">
        <v>0</v>
      </c>
      <c r="K37" s="15">
        <v>0</v>
      </c>
      <c r="L37">
        <f t="shared" si="15"/>
        <v>638.97</v>
      </c>
      <c r="M37" s="5">
        <f t="shared" si="13"/>
        <v>4711.03</v>
      </c>
      <c r="N37" s="10">
        <v>510.86</v>
      </c>
      <c r="O37" s="10">
        <v>882.75</v>
      </c>
      <c r="P37" s="35">
        <f t="shared" si="14"/>
        <v>1393.6100000000001</v>
      </c>
    </row>
    <row r="38" spans="1:16" x14ac:dyDescent="0.25">
      <c r="A38" t="s">
        <v>58</v>
      </c>
      <c r="B38" t="s">
        <v>101</v>
      </c>
      <c r="C38" t="s">
        <v>81</v>
      </c>
      <c r="D38">
        <v>5350</v>
      </c>
      <c r="E38">
        <f t="shared" si="12"/>
        <v>5350</v>
      </c>
      <c r="F38" s="15">
        <v>0</v>
      </c>
      <c r="G38">
        <v>588.20000000000005</v>
      </c>
      <c r="H38">
        <v>50.77</v>
      </c>
      <c r="I38" s="15">
        <v>0</v>
      </c>
      <c r="J38" s="15">
        <v>0</v>
      </c>
      <c r="K38" s="15">
        <v>0</v>
      </c>
      <c r="L38">
        <f t="shared" si="15"/>
        <v>638.97</v>
      </c>
      <c r="M38" s="5">
        <f t="shared" si="13"/>
        <v>4711.03</v>
      </c>
      <c r="N38" s="10">
        <v>510.86</v>
      </c>
      <c r="O38" s="10">
        <v>882.75</v>
      </c>
      <c r="P38" s="35">
        <f t="shared" si="14"/>
        <v>1393.6100000000001</v>
      </c>
    </row>
    <row r="39" spans="1:16" x14ac:dyDescent="0.25">
      <c r="A39" t="s">
        <v>59</v>
      </c>
      <c r="B39" t="s">
        <v>95</v>
      </c>
      <c r="C39" t="s">
        <v>82</v>
      </c>
      <c r="D39">
        <v>5350</v>
      </c>
      <c r="E39">
        <f t="shared" si="12"/>
        <v>5350</v>
      </c>
      <c r="F39" s="15">
        <v>0</v>
      </c>
      <c r="G39">
        <v>588.20000000000005</v>
      </c>
      <c r="H39">
        <v>50.77</v>
      </c>
      <c r="I39" s="15">
        <v>0</v>
      </c>
      <c r="J39" s="15">
        <v>0</v>
      </c>
      <c r="K39" s="15">
        <v>0</v>
      </c>
      <c r="L39">
        <f t="shared" si="15"/>
        <v>638.97</v>
      </c>
      <c r="M39" s="5">
        <f t="shared" si="13"/>
        <v>4711.03</v>
      </c>
      <c r="N39" s="10">
        <v>510.86</v>
      </c>
      <c r="O39" s="10">
        <v>882.75</v>
      </c>
      <c r="P39" s="35">
        <f t="shared" si="14"/>
        <v>1393.6100000000001</v>
      </c>
    </row>
    <row r="40" spans="1:16" x14ac:dyDescent="0.25">
      <c r="A40" t="s">
        <v>60</v>
      </c>
      <c r="B40" t="s">
        <v>102</v>
      </c>
      <c r="C40" t="s">
        <v>82</v>
      </c>
      <c r="D40">
        <v>5350</v>
      </c>
      <c r="E40">
        <f t="shared" si="12"/>
        <v>5350</v>
      </c>
      <c r="F40" s="15">
        <v>0</v>
      </c>
      <c r="G40">
        <v>588.20000000000005</v>
      </c>
      <c r="H40">
        <v>50.77</v>
      </c>
      <c r="I40" s="15">
        <v>0</v>
      </c>
      <c r="J40" s="15">
        <v>0</v>
      </c>
      <c r="K40" s="15">
        <v>0</v>
      </c>
      <c r="L40">
        <f t="shared" si="15"/>
        <v>638.97</v>
      </c>
      <c r="M40" s="5">
        <f t="shared" si="13"/>
        <v>4711.03</v>
      </c>
      <c r="N40" s="10">
        <v>510.86</v>
      </c>
      <c r="O40" s="10">
        <v>882.75</v>
      </c>
      <c r="P40" s="35">
        <f t="shared" si="14"/>
        <v>1393.6100000000001</v>
      </c>
    </row>
    <row r="41" spans="1:16" x14ac:dyDescent="0.25">
      <c r="A41" t="s">
        <v>61</v>
      </c>
      <c r="B41" t="s">
        <v>85</v>
      </c>
      <c r="C41" t="s">
        <v>83</v>
      </c>
      <c r="D41">
        <v>5350</v>
      </c>
      <c r="E41">
        <f t="shared" si="12"/>
        <v>5350</v>
      </c>
      <c r="F41" s="15">
        <v>0</v>
      </c>
      <c r="G41">
        <v>588.20000000000005</v>
      </c>
      <c r="H41">
        <v>50.77</v>
      </c>
      <c r="I41" s="15">
        <v>0</v>
      </c>
      <c r="J41" s="15">
        <v>0</v>
      </c>
      <c r="K41" s="15">
        <v>0</v>
      </c>
      <c r="L41">
        <f t="shared" si="15"/>
        <v>638.97</v>
      </c>
      <c r="M41" s="5">
        <f t="shared" si="13"/>
        <v>4711.03</v>
      </c>
      <c r="N41" s="10">
        <v>510.86</v>
      </c>
      <c r="O41" s="10">
        <v>882.75</v>
      </c>
      <c r="P41" s="35">
        <f t="shared" si="14"/>
        <v>1393.6100000000001</v>
      </c>
    </row>
    <row r="42" spans="1:16" x14ac:dyDescent="0.25">
      <c r="A42" t="s">
        <v>62</v>
      </c>
      <c r="B42" t="s">
        <v>103</v>
      </c>
      <c r="C42" t="s">
        <v>83</v>
      </c>
      <c r="D42">
        <v>5350</v>
      </c>
      <c r="E42">
        <f t="shared" si="12"/>
        <v>5350</v>
      </c>
      <c r="F42" s="15">
        <v>0</v>
      </c>
      <c r="G42">
        <v>588.20000000000005</v>
      </c>
      <c r="H42">
        <v>50.77</v>
      </c>
      <c r="I42" s="15">
        <v>0</v>
      </c>
      <c r="J42" s="15">
        <v>0</v>
      </c>
      <c r="K42" s="15">
        <v>0</v>
      </c>
      <c r="L42">
        <f t="shared" si="15"/>
        <v>638.97</v>
      </c>
      <c r="M42" s="5">
        <f t="shared" si="13"/>
        <v>4711.03</v>
      </c>
      <c r="N42" s="10">
        <v>510.86</v>
      </c>
      <c r="O42" s="10">
        <v>882.75</v>
      </c>
      <c r="P42" s="35">
        <f t="shared" si="14"/>
        <v>1393.6100000000001</v>
      </c>
    </row>
    <row r="43" spans="1:16" x14ac:dyDescent="0.25">
      <c r="A43" s="2" t="s">
        <v>26</v>
      </c>
      <c r="D43" s="34">
        <f>SUM(D32:D42)</f>
        <v>58850</v>
      </c>
      <c r="E43" s="34">
        <f t="shared" ref="E43:P43" si="16">SUM(E32:E42)</f>
        <v>58850</v>
      </c>
      <c r="F43" s="34">
        <f t="shared" si="16"/>
        <v>0</v>
      </c>
      <c r="G43" s="34">
        <f t="shared" si="16"/>
        <v>6470.1999999999989</v>
      </c>
      <c r="H43" s="34">
        <f t="shared" si="16"/>
        <v>558.46999999999991</v>
      </c>
      <c r="I43" s="34">
        <f t="shared" si="16"/>
        <v>0</v>
      </c>
      <c r="J43" s="34">
        <f t="shared" si="16"/>
        <v>0</v>
      </c>
      <c r="K43" s="34">
        <f t="shared" si="16"/>
        <v>0</v>
      </c>
      <c r="L43" s="34">
        <f t="shared" si="16"/>
        <v>7028.6700000000019</v>
      </c>
      <c r="M43" s="34">
        <f t="shared" si="16"/>
        <v>51821.329999999994</v>
      </c>
      <c r="N43" s="34">
        <f t="shared" si="16"/>
        <v>5619.46</v>
      </c>
      <c r="O43" s="34">
        <f t="shared" si="16"/>
        <v>9710.25</v>
      </c>
      <c r="P43" s="34">
        <f t="shared" si="16"/>
        <v>15329.710000000005</v>
      </c>
    </row>
    <row r="45" spans="1:16" x14ac:dyDescent="0.25">
      <c r="A45" s="2" t="s">
        <v>63</v>
      </c>
      <c r="B45" s="2" t="s">
        <v>64</v>
      </c>
    </row>
    <row r="46" spans="1:16" x14ac:dyDescent="0.25">
      <c r="A46" t="s">
        <v>65</v>
      </c>
      <c r="B46" t="s">
        <v>99</v>
      </c>
      <c r="C46" t="s">
        <v>80</v>
      </c>
      <c r="D46">
        <v>5350</v>
      </c>
      <c r="E46">
        <f>D46</f>
        <v>5350</v>
      </c>
      <c r="F46" s="15">
        <v>0</v>
      </c>
      <c r="G46">
        <v>588.20000000000005</v>
      </c>
      <c r="H46">
        <v>50.77</v>
      </c>
      <c r="I46" s="15">
        <v>0</v>
      </c>
      <c r="J46" s="15">
        <v>0</v>
      </c>
      <c r="K46" s="15">
        <v>0</v>
      </c>
      <c r="L46">
        <f t="shared" ref="L46" si="17">SUM(F46:K46)</f>
        <v>638.97</v>
      </c>
      <c r="M46" s="5">
        <f>E46-L46</f>
        <v>4711.03</v>
      </c>
      <c r="N46" s="10">
        <v>510.86</v>
      </c>
      <c r="O46" s="10">
        <v>882.75</v>
      </c>
      <c r="P46" s="35">
        <f t="shared" ref="P46" si="18">N46+O46</f>
        <v>1393.6100000000001</v>
      </c>
    </row>
    <row r="47" spans="1:16" x14ac:dyDescent="0.25">
      <c r="A47" s="2" t="s">
        <v>26</v>
      </c>
      <c r="D47" s="34">
        <f>D46</f>
        <v>5350</v>
      </c>
      <c r="E47" s="34">
        <f t="shared" ref="E47:P47" si="19">E46</f>
        <v>5350</v>
      </c>
      <c r="F47" s="34">
        <f t="shared" si="19"/>
        <v>0</v>
      </c>
      <c r="G47" s="34">
        <f t="shared" si="19"/>
        <v>588.20000000000005</v>
      </c>
      <c r="H47" s="34">
        <f t="shared" si="19"/>
        <v>50.77</v>
      </c>
      <c r="I47" s="34">
        <f t="shared" si="19"/>
        <v>0</v>
      </c>
      <c r="J47" s="34">
        <f t="shared" si="19"/>
        <v>0</v>
      </c>
      <c r="K47" s="34">
        <f t="shared" si="19"/>
        <v>0</v>
      </c>
      <c r="L47" s="34">
        <f t="shared" si="19"/>
        <v>638.97</v>
      </c>
      <c r="M47" s="34">
        <f t="shared" si="19"/>
        <v>4711.03</v>
      </c>
      <c r="N47" s="34">
        <f t="shared" si="19"/>
        <v>510.86</v>
      </c>
      <c r="O47" s="34">
        <f t="shared" si="19"/>
        <v>882.75</v>
      </c>
      <c r="P47" s="34">
        <f t="shared" si="19"/>
        <v>1393.6100000000001</v>
      </c>
    </row>
    <row r="49" spans="1:16" x14ac:dyDescent="0.25">
      <c r="A49" s="2" t="s">
        <v>66</v>
      </c>
    </row>
    <row r="50" spans="1:16" x14ac:dyDescent="0.25">
      <c r="A50" t="s">
        <v>67</v>
      </c>
      <c r="C50" t="s">
        <v>84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x14ac:dyDescent="0.25">
      <c r="A51" s="11" t="s">
        <v>68</v>
      </c>
      <c r="B51" s="11" t="s">
        <v>92</v>
      </c>
      <c r="C51" s="11" t="s">
        <v>7</v>
      </c>
      <c r="D51" s="11">
        <v>2000</v>
      </c>
      <c r="E51" s="11">
        <f>D51</f>
        <v>2000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f>SUM(F51:K51)</f>
        <v>0</v>
      </c>
      <c r="M51" s="11">
        <f>E51-L51</f>
        <v>2000</v>
      </c>
      <c r="N51" s="15">
        <v>0</v>
      </c>
      <c r="O51" s="15">
        <v>0</v>
      </c>
      <c r="P51" s="15">
        <v>0</v>
      </c>
    </row>
    <row r="52" spans="1:16" x14ac:dyDescent="0.25">
      <c r="A52" t="s">
        <v>69</v>
      </c>
      <c r="C52" t="s">
        <v>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x14ac:dyDescent="0.25">
      <c r="A53" t="s">
        <v>70</v>
      </c>
      <c r="C53" t="s">
        <v>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x14ac:dyDescent="0.25">
      <c r="A54" t="s">
        <v>71</v>
      </c>
      <c r="C54" t="s">
        <v>7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x14ac:dyDescent="0.25">
      <c r="A55" s="2" t="s">
        <v>26</v>
      </c>
      <c r="D55" s="8">
        <f>SUM(D50:D54)</f>
        <v>2000</v>
      </c>
      <c r="E55" s="8">
        <f t="shared" ref="E55:P55" si="20">SUM(E50:E54)</f>
        <v>2000</v>
      </c>
      <c r="F55" s="8">
        <f t="shared" si="20"/>
        <v>0</v>
      </c>
      <c r="G55" s="8">
        <f t="shared" si="20"/>
        <v>0</v>
      </c>
      <c r="H55" s="8">
        <f t="shared" si="20"/>
        <v>0</v>
      </c>
      <c r="I55" s="8">
        <f t="shared" si="20"/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8">
        <f t="shared" si="20"/>
        <v>2000</v>
      </c>
      <c r="N55" s="8">
        <f t="shared" si="20"/>
        <v>0</v>
      </c>
      <c r="O55" s="8">
        <f t="shared" si="20"/>
        <v>0</v>
      </c>
      <c r="P55" s="8">
        <f t="shared" si="20"/>
        <v>0</v>
      </c>
    </row>
    <row r="58" spans="1:16" ht="18.75" x14ac:dyDescent="0.3">
      <c r="C58" s="4" t="s">
        <v>105</v>
      </c>
      <c r="D58" s="9">
        <f>D8+D19+D24+D29+D43+D47+D55</f>
        <v>108704.95</v>
      </c>
      <c r="E58" s="9">
        <f>E8+E19+E24+E29+E43+E47+E55</f>
        <v>108704.95</v>
      </c>
      <c r="F58" s="9">
        <f t="shared" ref="F58:P58" si="21">F8+F19+F24+F29+F43+F47+F55</f>
        <v>0</v>
      </c>
      <c r="G58" s="9">
        <f t="shared" si="21"/>
        <v>12758.38</v>
      </c>
      <c r="H58" s="9">
        <f t="shared" si="21"/>
        <v>1024.7049999999999</v>
      </c>
      <c r="I58" s="9">
        <f t="shared" si="21"/>
        <v>0</v>
      </c>
      <c r="J58" s="9">
        <f t="shared" si="21"/>
        <v>0</v>
      </c>
      <c r="K58" s="9">
        <f t="shared" si="21"/>
        <v>0</v>
      </c>
      <c r="L58" s="9">
        <f t="shared" si="21"/>
        <v>13783.085000000001</v>
      </c>
      <c r="M58" s="9">
        <f t="shared" si="21"/>
        <v>94921.864999999991</v>
      </c>
      <c r="N58" s="9">
        <f t="shared" si="21"/>
        <v>10016.870000000001</v>
      </c>
      <c r="O58" s="9">
        <f t="shared" si="21"/>
        <v>17606.309999999998</v>
      </c>
      <c r="P58" s="9">
        <f t="shared" si="21"/>
        <v>27623.180000000008</v>
      </c>
    </row>
    <row r="61" spans="1:16" x14ac:dyDescent="0.25">
      <c r="B61" s="33"/>
    </row>
  </sheetData>
  <mergeCells count="1">
    <mergeCell ref="D2:P2"/>
  </mergeCells>
  <pageMargins left="0.7" right="0.7" top="0.75" bottom="0.75" header="0.3" footer="0.3"/>
  <pageSetup paperSize="9" orientation="portrait" verticalDpi="0" r:id="rId1"/>
  <ignoredErrors>
    <ignoredError sqref="L2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D4" zoomScale="85" zoomScaleNormal="85" workbookViewId="0">
      <selection activeCell="F23" sqref="F23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86" t="s">
        <v>181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15">
        <f>E7*0.115</f>
        <v>1949.8192500000002</v>
      </c>
      <c r="Q7" s="15">
        <f>SUM(N7:P7)+G7</f>
        <v>7896.7492499999998</v>
      </c>
      <c r="R7" s="67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 t="shared" ref="N8" si="0">M8-L8</f>
        <v>491.69</v>
      </c>
      <c r="O8" s="15">
        <v>0</v>
      </c>
      <c r="P8" s="15">
        <f>E8*0.115</f>
        <v>557.75</v>
      </c>
      <c r="Q8" s="15">
        <f>SUM(N8:P8)+G8</f>
        <v>1858.44</v>
      </c>
      <c r="R8" s="67">
        <f>K8-Q8</f>
        <v>2991.56</v>
      </c>
      <c r="S8" s="11">
        <v>253.58</v>
      </c>
      <c r="T8" s="11">
        <v>970</v>
      </c>
      <c r="U8" s="35">
        <f t="shared" ref="U8" si="1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2">SUM(I7:I8)</f>
        <v>0</v>
      </c>
      <c r="J9" s="34">
        <f t="shared" si="2"/>
        <v>0</v>
      </c>
      <c r="K9" s="34">
        <f t="shared" si="2"/>
        <v>21804.95</v>
      </c>
      <c r="L9" s="34">
        <f t="shared" si="2"/>
        <v>0</v>
      </c>
      <c r="M9" s="34">
        <f t="shared" si="2"/>
        <v>3738.62</v>
      </c>
      <c r="N9" s="34">
        <f t="shared" si="2"/>
        <v>3738.62</v>
      </c>
      <c r="O9" s="34">
        <f t="shared" si="2"/>
        <v>0</v>
      </c>
      <c r="P9" s="34">
        <f t="shared" si="2"/>
        <v>2507.5692500000005</v>
      </c>
      <c r="Q9" s="34">
        <f t="shared" si="2"/>
        <v>9755.1892499999994</v>
      </c>
      <c r="R9" s="34">
        <f t="shared" si="2"/>
        <v>12049.760749999999</v>
      </c>
      <c r="S9" s="34">
        <f t="shared" si="2"/>
        <v>582.25</v>
      </c>
      <c r="T9" s="34">
        <f t="shared" si="2"/>
        <v>4360.99</v>
      </c>
      <c r="U9" s="34">
        <f t="shared" si="2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/>
      <c r="K12" s="15">
        <f t="shared" ref="K12:K19" si="3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4">E12*0.115</f>
        <v>1150</v>
      </c>
      <c r="Q12" s="15">
        <f>SUM(N12:P12)+G12</f>
        <v>2731.44</v>
      </c>
      <c r="R12" s="67">
        <f t="shared" ref="R12:R19" si="5">K12-Q12</f>
        <v>7268.5599999999995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19"/>
      <c r="J13" s="19"/>
      <c r="K13" s="15">
        <f t="shared" si="3"/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4"/>
        <v>615.25</v>
      </c>
      <c r="Q13" s="15">
        <f t="shared" ref="Q13:Q19" si="6">SUM(N13:P13)+G13</f>
        <v>1203.45</v>
      </c>
      <c r="R13" s="67">
        <f t="shared" si="5"/>
        <v>4146.55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18">
        <v>615.25</v>
      </c>
      <c r="I14" s="19"/>
      <c r="J14" s="19"/>
      <c r="K14" s="15">
        <f>+E14+H14</f>
        <v>5965.25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67">
        <f t="shared" si="5"/>
        <v>5377.05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3"/>
        <v>6000</v>
      </c>
      <c r="L15" s="15">
        <v>0</v>
      </c>
      <c r="M15" s="15">
        <v>727.04</v>
      </c>
      <c r="N15" s="15">
        <f t="shared" ref="N15:N19" si="7">M15-L15</f>
        <v>727.04</v>
      </c>
      <c r="O15" s="15">
        <v>0</v>
      </c>
      <c r="P15" s="15">
        <f t="shared" si="4"/>
        <v>690</v>
      </c>
      <c r="Q15" s="15">
        <f t="shared" si="6"/>
        <v>1417.04</v>
      </c>
      <c r="R15" s="67">
        <f t="shared" si="5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750</v>
      </c>
      <c r="H16" s="15"/>
      <c r="I16" s="15"/>
      <c r="J16" s="15"/>
      <c r="K16" s="15">
        <f t="shared" si="3"/>
        <v>4500</v>
      </c>
      <c r="L16" s="15">
        <v>0</v>
      </c>
      <c r="M16" s="15">
        <v>428.97</v>
      </c>
      <c r="N16" s="15">
        <f t="shared" si="7"/>
        <v>428.97</v>
      </c>
      <c r="O16" s="15">
        <v>0</v>
      </c>
      <c r="P16" s="15">
        <f t="shared" si="4"/>
        <v>517.5</v>
      </c>
      <c r="Q16" s="15">
        <f t="shared" si="6"/>
        <v>1696.47</v>
      </c>
      <c r="R16" s="67">
        <f t="shared" si="5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610</v>
      </c>
      <c r="H17" s="15"/>
      <c r="I17" s="15"/>
      <c r="J17" s="15"/>
      <c r="K17" s="15">
        <f t="shared" si="3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4"/>
        <v>517.5</v>
      </c>
      <c r="Q17" s="15">
        <f t="shared" si="6"/>
        <v>1556.47</v>
      </c>
      <c r="R17" s="67">
        <f t="shared" si="5"/>
        <v>2943.5299999999997</v>
      </c>
      <c r="S17" s="11">
        <v>251.41</v>
      </c>
      <c r="T17" s="11">
        <v>900</v>
      </c>
      <c r="U17" s="35">
        <f t="shared" ref="U17:U19" si="8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450</v>
      </c>
      <c r="H18" s="15"/>
      <c r="I18" s="15"/>
      <c r="J18" s="15"/>
      <c r="K18" s="15">
        <f t="shared" si="3"/>
        <v>2700</v>
      </c>
      <c r="L18" s="15">
        <v>147.32</v>
      </c>
      <c r="M18" s="15">
        <v>188.33</v>
      </c>
      <c r="N18" s="15">
        <f t="shared" si="7"/>
        <v>41.010000000000019</v>
      </c>
      <c r="O18" s="15">
        <v>0</v>
      </c>
      <c r="P18" s="15">
        <f t="shared" si="4"/>
        <v>310.5</v>
      </c>
      <c r="Q18" s="15">
        <f t="shared" si="6"/>
        <v>801.51</v>
      </c>
      <c r="R18" s="67">
        <f t="shared" si="5"/>
        <v>1898.49</v>
      </c>
      <c r="S18" s="11">
        <v>240.25</v>
      </c>
      <c r="T18" s="11">
        <v>540</v>
      </c>
      <c r="U18" s="35">
        <f t="shared" si="8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1029</v>
      </c>
      <c r="H19" s="15"/>
      <c r="I19" s="15"/>
      <c r="J19" s="15"/>
      <c r="K19" s="15">
        <f t="shared" si="3"/>
        <v>3150</v>
      </c>
      <c r="L19" s="15">
        <v>126.77</v>
      </c>
      <c r="M19" s="15">
        <v>237.29</v>
      </c>
      <c r="N19" s="15">
        <f t="shared" si="7"/>
        <v>110.52</v>
      </c>
      <c r="O19" s="15">
        <v>0</v>
      </c>
      <c r="P19" s="15">
        <f t="shared" si="4"/>
        <v>362.25</v>
      </c>
      <c r="Q19" s="15">
        <f t="shared" si="6"/>
        <v>1501.77</v>
      </c>
      <c r="R19" s="67">
        <f t="shared" si="5"/>
        <v>1648.23</v>
      </c>
      <c r="S19" s="11">
        <v>243.04</v>
      </c>
      <c r="T19" s="11">
        <v>630</v>
      </c>
      <c r="U19" s="35">
        <f t="shared" si="8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</f>
        <v>2839</v>
      </c>
      <c r="H20" s="34"/>
      <c r="I20" s="34">
        <f t="shared" ref="I20:U20" si="9">SUM(I12:I19)</f>
        <v>0</v>
      </c>
      <c r="J20" s="34">
        <f t="shared" si="9"/>
        <v>0</v>
      </c>
      <c r="K20" s="34">
        <f t="shared" si="9"/>
        <v>42165.25</v>
      </c>
      <c r="L20" s="34">
        <f t="shared" si="9"/>
        <v>274.08999999999997</v>
      </c>
      <c r="M20" s="34">
        <f t="shared" si="9"/>
        <v>4765.54</v>
      </c>
      <c r="N20" s="34">
        <f t="shared" si="9"/>
        <v>4494.3500000000013</v>
      </c>
      <c r="O20" s="34">
        <f t="shared" si="9"/>
        <v>0</v>
      </c>
      <c r="P20" s="34">
        <f t="shared" si="9"/>
        <v>4163</v>
      </c>
      <c r="Q20" s="34">
        <f t="shared" si="9"/>
        <v>11496.35</v>
      </c>
      <c r="R20" s="34">
        <f t="shared" si="9"/>
        <v>30668.899999999998</v>
      </c>
      <c r="S20" s="34">
        <f t="shared" si="9"/>
        <v>2045.7200000000003</v>
      </c>
      <c r="T20" s="34">
        <f t="shared" si="9"/>
        <v>7240</v>
      </c>
      <c r="U20" s="34">
        <f t="shared" si="9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15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15">
        <f>E23*0.115</f>
        <v>615.25</v>
      </c>
      <c r="Q23" s="15">
        <f>SUM(N23:P23)+G23</f>
        <v>1203.45</v>
      </c>
      <c r="R23" s="67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15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15">
        <f>E24*0.115</f>
        <v>615.25</v>
      </c>
      <c r="Q24" s="15">
        <f>SUM(N24:P24)+G24</f>
        <v>1203.45</v>
      </c>
      <c r="R24" s="67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15">
        <f>E25*0.115</f>
        <v>615.25</v>
      </c>
      <c r="Q25" s="15">
        <f>SUM(N25:P25)+G25</f>
        <v>1203.45</v>
      </c>
      <c r="R25" s="67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10">SUM(K23:K25)</f>
        <v>16050</v>
      </c>
      <c r="L26" s="34">
        <f t="shared" si="10"/>
        <v>0</v>
      </c>
      <c r="M26" s="34">
        <f t="shared" si="10"/>
        <v>1629.8700000000001</v>
      </c>
      <c r="N26" s="34">
        <f t="shared" si="10"/>
        <v>1764.6000000000001</v>
      </c>
      <c r="O26" s="34">
        <f t="shared" si="10"/>
        <v>0</v>
      </c>
      <c r="P26" s="34">
        <f t="shared" si="10"/>
        <v>1845.75</v>
      </c>
      <c r="Q26" s="34">
        <f t="shared" si="10"/>
        <v>3610.3500000000004</v>
      </c>
      <c r="R26" s="34">
        <f t="shared" si="10"/>
        <v>12439.650000000001</v>
      </c>
      <c r="S26" s="34">
        <f t="shared" si="10"/>
        <v>770.04</v>
      </c>
      <c r="T26" s="34">
        <f t="shared" si="10"/>
        <v>3210</v>
      </c>
      <c r="U26" s="34">
        <f t="shared" si="10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1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15">
        <f>E29*0.115</f>
        <v>615.25</v>
      </c>
      <c r="Q29" s="15">
        <f t="shared" ref="Q29:Q39" si="12">SUM(N29:P29)+G29</f>
        <v>1203.45</v>
      </c>
      <c r="R29" s="67">
        <f t="shared" ref="R29:R39" si="13">K29-Q29</f>
        <v>4146.55</v>
      </c>
      <c r="S29" s="11">
        <v>256.68</v>
      </c>
      <c r="T29" s="11">
        <v>1070</v>
      </c>
      <c r="U29" s="35">
        <f t="shared" ref="U29:U39" si="14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11"/>
      <c r="J30" s="20"/>
      <c r="K30" s="20">
        <f t="shared" si="11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15">
        <f t="shared" ref="P30:P39" si="15">E30*0.115</f>
        <v>615.25</v>
      </c>
      <c r="Q30" s="15">
        <f t="shared" si="12"/>
        <v>1203.45</v>
      </c>
      <c r="R30" s="67">
        <f t="shared" si="13"/>
        <v>4146.55</v>
      </c>
      <c r="S30" s="11">
        <v>256.68</v>
      </c>
      <c r="T30" s="11">
        <v>1070</v>
      </c>
      <c r="U30" s="35">
        <f t="shared" si="14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1"/>
        <v>5350</v>
      </c>
      <c r="L31" s="20">
        <v>0</v>
      </c>
      <c r="M31" s="20">
        <v>588.20000000000005</v>
      </c>
      <c r="N31" s="20">
        <f t="shared" ref="N31:N39" si="16">M31-L31</f>
        <v>588.20000000000005</v>
      </c>
      <c r="O31" s="15">
        <v>0</v>
      </c>
      <c r="P31" s="15">
        <f t="shared" si="15"/>
        <v>615.25</v>
      </c>
      <c r="Q31" s="15">
        <f t="shared" si="12"/>
        <v>1203.45</v>
      </c>
      <c r="R31" s="67">
        <f t="shared" si="13"/>
        <v>4146.55</v>
      </c>
      <c r="S31" s="11">
        <v>256.68</v>
      </c>
      <c r="T31" s="11">
        <v>1070</v>
      </c>
      <c r="U31" s="35">
        <f t="shared" si="14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1"/>
        <v>5350</v>
      </c>
      <c r="L32" s="20">
        <v>0</v>
      </c>
      <c r="M32" s="20">
        <v>588.20000000000005</v>
      </c>
      <c r="N32" s="20">
        <f t="shared" si="16"/>
        <v>588.20000000000005</v>
      </c>
      <c r="O32" s="15">
        <v>0</v>
      </c>
      <c r="P32" s="15">
        <f t="shared" si="15"/>
        <v>615.25</v>
      </c>
      <c r="Q32" s="15">
        <f t="shared" si="12"/>
        <v>1203.45</v>
      </c>
      <c r="R32" s="67">
        <f t="shared" si="13"/>
        <v>4146.55</v>
      </c>
      <c r="S32" s="11">
        <v>256.68</v>
      </c>
      <c r="T32" s="11">
        <v>1070</v>
      </c>
      <c r="U32" s="35">
        <f t="shared" si="14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595</v>
      </c>
      <c r="H33" s="15"/>
      <c r="I33" s="20"/>
      <c r="J33" s="20"/>
      <c r="K33" s="20">
        <f t="shared" si="11"/>
        <v>5350</v>
      </c>
      <c r="L33" s="20">
        <v>0</v>
      </c>
      <c r="M33" s="20">
        <v>517.23</v>
      </c>
      <c r="N33" s="20">
        <v>588.02</v>
      </c>
      <c r="O33" s="15">
        <v>0</v>
      </c>
      <c r="P33" s="15">
        <f t="shared" si="15"/>
        <v>615.25</v>
      </c>
      <c r="Q33" s="15">
        <f t="shared" si="12"/>
        <v>1798.27</v>
      </c>
      <c r="R33" s="67">
        <f t="shared" si="13"/>
        <v>3551.73</v>
      </c>
      <c r="S33" s="11">
        <v>256.68</v>
      </c>
      <c r="T33" s="11">
        <v>1070</v>
      </c>
      <c r="U33" s="35">
        <f t="shared" si="14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18">
        <v>25.47</v>
      </c>
      <c r="I34" s="20"/>
      <c r="J34" s="20"/>
      <c r="K34" s="20">
        <f>E34+H34</f>
        <v>5375.47</v>
      </c>
      <c r="L34" s="20">
        <v>0</v>
      </c>
      <c r="M34" s="20">
        <v>588.20000000000005</v>
      </c>
      <c r="N34" s="20">
        <f t="shared" si="16"/>
        <v>588.20000000000005</v>
      </c>
      <c r="O34" s="15">
        <v>0</v>
      </c>
      <c r="P34" s="15">
        <f>E34*0.115</f>
        <v>615.25</v>
      </c>
      <c r="Q34" s="15">
        <f t="shared" si="12"/>
        <v>1203.45</v>
      </c>
      <c r="R34" s="67">
        <f t="shared" si="13"/>
        <v>4172.0200000000004</v>
      </c>
      <c r="S34" s="11">
        <v>256.68</v>
      </c>
      <c r="T34" s="11">
        <v>1070</v>
      </c>
      <c r="U34" s="35">
        <f t="shared" si="14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22.93</v>
      </c>
      <c r="J35" s="20"/>
      <c r="K35" s="20">
        <f>E35-I35</f>
        <v>5327.07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15">
        <f t="shared" si="15"/>
        <v>615.25</v>
      </c>
      <c r="Q35" s="15">
        <f>SUM(N35:P35)+G35</f>
        <v>1203.45</v>
      </c>
      <c r="R35" s="67">
        <f>K35-Q35</f>
        <v>4123.62</v>
      </c>
      <c r="S35" s="11">
        <v>256.68</v>
      </c>
      <c r="T35" s="11">
        <v>1070</v>
      </c>
      <c r="U35" s="35">
        <f t="shared" si="14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>
        <v>1190</v>
      </c>
      <c r="H36" s="15"/>
      <c r="I36" s="15"/>
      <c r="J36" s="15"/>
      <c r="K36" s="15">
        <f t="shared" si="11"/>
        <v>5350</v>
      </c>
      <c r="L36" s="15">
        <v>0</v>
      </c>
      <c r="M36" s="15">
        <v>588.20000000000005</v>
      </c>
      <c r="N36" s="15">
        <f t="shared" si="16"/>
        <v>588.20000000000005</v>
      </c>
      <c r="O36" s="15">
        <v>0</v>
      </c>
      <c r="P36" s="15">
        <f t="shared" si="15"/>
        <v>615.25</v>
      </c>
      <c r="Q36" s="15">
        <f t="shared" si="12"/>
        <v>2393.4499999999998</v>
      </c>
      <c r="R36" s="67">
        <f t="shared" si="13"/>
        <v>2956.55</v>
      </c>
      <c r="S36" s="11">
        <v>256.68</v>
      </c>
      <c r="T36" s="11">
        <v>1070</v>
      </c>
      <c r="U36" s="35">
        <f t="shared" si="14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/>
      <c r="H37" s="15"/>
      <c r="I37" s="15"/>
      <c r="J37" s="15"/>
      <c r="K37" s="15">
        <f t="shared" si="11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15">
        <f t="shared" si="15"/>
        <v>615.25</v>
      </c>
      <c r="Q37" s="15">
        <f>SUM(N37:P37)+G37</f>
        <v>1203.45</v>
      </c>
      <c r="R37" s="67">
        <f t="shared" si="13"/>
        <v>4146.55</v>
      </c>
      <c r="S37" s="11">
        <v>256.68</v>
      </c>
      <c r="T37" s="11">
        <v>1070</v>
      </c>
      <c r="U37" s="35">
        <f t="shared" si="14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>
        <v>1784</v>
      </c>
      <c r="H38" s="15"/>
      <c r="I38" s="15"/>
      <c r="J38" s="15"/>
      <c r="K38" s="15">
        <f t="shared" si="11"/>
        <v>5350</v>
      </c>
      <c r="L38" s="15">
        <v>0</v>
      </c>
      <c r="M38" s="15">
        <v>588.20000000000005</v>
      </c>
      <c r="N38" s="15">
        <f t="shared" si="16"/>
        <v>588.20000000000005</v>
      </c>
      <c r="O38" s="15">
        <v>0</v>
      </c>
      <c r="P38" s="15">
        <f t="shared" si="15"/>
        <v>615.25</v>
      </c>
      <c r="Q38" s="15">
        <f t="shared" si="12"/>
        <v>2987.45</v>
      </c>
      <c r="R38" s="67">
        <f t="shared" si="13"/>
        <v>2362.5500000000002</v>
      </c>
      <c r="S38" s="11">
        <v>256.68</v>
      </c>
      <c r="T38" s="11">
        <v>1070</v>
      </c>
      <c r="U38" s="35">
        <f t="shared" si="14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/>
      <c r="J39" s="15"/>
      <c r="K39" s="15">
        <f t="shared" si="11"/>
        <v>5350</v>
      </c>
      <c r="L39" s="15">
        <v>0</v>
      </c>
      <c r="M39" s="15">
        <v>588.20000000000005</v>
      </c>
      <c r="N39" s="15">
        <f t="shared" si="16"/>
        <v>588.20000000000005</v>
      </c>
      <c r="O39" s="15">
        <v>0</v>
      </c>
      <c r="P39" s="15">
        <f t="shared" si="15"/>
        <v>615.25</v>
      </c>
      <c r="Q39" s="15">
        <f t="shared" si="12"/>
        <v>1203.45</v>
      </c>
      <c r="R39" s="67">
        <f t="shared" si="13"/>
        <v>4146.55</v>
      </c>
      <c r="S39" s="11">
        <v>256.68</v>
      </c>
      <c r="T39" s="11">
        <v>1070</v>
      </c>
      <c r="U39" s="35">
        <f t="shared" si="14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3569</v>
      </c>
      <c r="H40" s="34"/>
      <c r="I40" s="34">
        <f>SUM(I29:I39)</f>
        <v>22.93</v>
      </c>
      <c r="J40" s="34">
        <f>SUM(J29:J39)</f>
        <v>0</v>
      </c>
      <c r="K40" s="34">
        <f>SUM(K29:K39)</f>
        <v>58852.54</v>
      </c>
      <c r="L40" s="34">
        <f t="shared" ref="L40:U40" si="17">SUM(L29:L39)</f>
        <v>0</v>
      </c>
      <c r="M40" s="34">
        <f t="shared" si="17"/>
        <v>6396.3399999999992</v>
      </c>
      <c r="N40" s="34">
        <f t="shared" si="17"/>
        <v>6470.0199999999995</v>
      </c>
      <c r="O40" s="34">
        <f t="shared" si="17"/>
        <v>0</v>
      </c>
      <c r="P40" s="34">
        <f t="shared" si="17"/>
        <v>6767.75</v>
      </c>
      <c r="Q40" s="34">
        <f t="shared" si="17"/>
        <v>16806.77</v>
      </c>
      <c r="R40" s="34">
        <f t="shared" si="17"/>
        <v>42045.770000000004</v>
      </c>
      <c r="S40" s="34">
        <f t="shared" si="17"/>
        <v>2823.4799999999996</v>
      </c>
      <c r="T40" s="34">
        <f t="shared" si="17"/>
        <v>11770</v>
      </c>
      <c r="U40" s="34">
        <f t="shared" si="17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64">
        <v>6.8</v>
      </c>
      <c r="J43" s="20"/>
      <c r="K43" s="20">
        <f>E43-I43</f>
        <v>5343.2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8">E43*0.115</f>
        <v>615.25</v>
      </c>
      <c r="Q43" s="15">
        <f>SUM(N43:P43)+G43</f>
        <v>1203.45</v>
      </c>
      <c r="R43" s="67">
        <f>K43-Q43</f>
        <v>4139.75</v>
      </c>
      <c r="S43" s="11">
        <v>256.68</v>
      </c>
      <c r="T43" s="11">
        <v>1070</v>
      </c>
      <c r="U43" s="35">
        <f t="shared" ref="U43:U44" si="19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67">
        <f>K44-Q44</f>
        <v>4146.55</v>
      </c>
      <c r="S44" s="11">
        <v>256.68</v>
      </c>
      <c r="T44" s="11">
        <v>1070</v>
      </c>
      <c r="U44" s="35">
        <f t="shared" si="19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6.8</v>
      </c>
      <c r="J45" s="34">
        <f>J43+J44</f>
        <v>0</v>
      </c>
      <c r="K45" s="34">
        <f t="shared" ref="K45:U45" si="20">K43+K44</f>
        <v>10693.2</v>
      </c>
      <c r="L45" s="34">
        <f t="shared" si="20"/>
        <v>0</v>
      </c>
      <c r="M45" s="34">
        <f t="shared" si="20"/>
        <v>1174.4100000000001</v>
      </c>
      <c r="N45" s="34">
        <f t="shared" si="20"/>
        <v>1176.4000000000001</v>
      </c>
      <c r="O45" s="34">
        <f t="shared" si="20"/>
        <v>0</v>
      </c>
      <c r="P45" s="34">
        <f t="shared" si="20"/>
        <v>1230.5</v>
      </c>
      <c r="Q45" s="34">
        <f t="shared" si="20"/>
        <v>2406.9</v>
      </c>
      <c r="R45" s="34">
        <f t="shared" si="20"/>
        <v>8286.2999999999993</v>
      </c>
      <c r="S45" s="34">
        <f t="shared" si="20"/>
        <v>513.36</v>
      </c>
      <c r="T45" s="34">
        <f t="shared" si="20"/>
        <v>2140</v>
      </c>
      <c r="U45" s="34">
        <f t="shared" si="20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67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1">K48</f>
        <v>10000</v>
      </c>
      <c r="L49" s="34">
        <f t="shared" si="21"/>
        <v>0</v>
      </c>
      <c r="M49" s="34">
        <f t="shared" si="21"/>
        <v>1581.44</v>
      </c>
      <c r="N49" s="34">
        <f t="shared" si="21"/>
        <v>1581.44</v>
      </c>
      <c r="O49" s="34">
        <f t="shared" si="21"/>
        <v>0</v>
      </c>
      <c r="P49" s="34">
        <f t="shared" si="21"/>
        <v>1150</v>
      </c>
      <c r="Q49" s="34">
        <f t="shared" si="21"/>
        <v>2731.44</v>
      </c>
      <c r="R49" s="34">
        <f t="shared" si="21"/>
        <v>7268.5599999999995</v>
      </c>
      <c r="S49" s="34">
        <f t="shared" si="21"/>
        <v>285.52999999999997</v>
      </c>
      <c r="T49" s="34">
        <f t="shared" si="21"/>
        <v>2000</v>
      </c>
      <c r="U49" s="34">
        <f t="shared" si="21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9917</v>
      </c>
      <c r="H52" s="17"/>
      <c r="I52" s="17">
        <f t="shared" ref="I52:U52" si="22">I9+I20+I26+I40+I45+I49</f>
        <v>29.73</v>
      </c>
      <c r="J52" s="17">
        <f t="shared" si="22"/>
        <v>0</v>
      </c>
      <c r="K52" s="17">
        <f t="shared" si="22"/>
        <v>159565.94</v>
      </c>
      <c r="L52" s="17">
        <f t="shared" si="22"/>
        <v>274.08999999999997</v>
      </c>
      <c r="M52" s="17">
        <f t="shared" si="22"/>
        <v>19286.219999999998</v>
      </c>
      <c r="N52" s="17">
        <f t="shared" si="22"/>
        <v>19225.43</v>
      </c>
      <c r="O52" s="17">
        <f t="shared" si="22"/>
        <v>0</v>
      </c>
      <c r="P52" s="17">
        <f t="shared" si="22"/>
        <v>17664.56925</v>
      </c>
      <c r="Q52" s="17">
        <f t="shared" si="22"/>
        <v>46806.999250000001</v>
      </c>
      <c r="R52" s="54">
        <f t="shared" si="22"/>
        <v>112758.94074999999</v>
      </c>
      <c r="S52" s="17">
        <f t="shared" si="22"/>
        <v>7020.3799999999992</v>
      </c>
      <c r="T52" s="17">
        <f t="shared" si="22"/>
        <v>30720.989999999998</v>
      </c>
      <c r="U52" s="55">
        <f t="shared" si="22"/>
        <v>37741.370000000003</v>
      </c>
    </row>
    <row r="55" spans="2:21" ht="15.75" thickBot="1" x14ac:dyDescent="0.3">
      <c r="E55" s="89"/>
      <c r="F55" s="89"/>
      <c r="G55" s="59"/>
      <c r="H55" s="62"/>
      <c r="P55" s="90"/>
      <c r="Q55" s="90"/>
    </row>
    <row r="56" spans="2:21" x14ac:dyDescent="0.25">
      <c r="E56" s="91" t="s">
        <v>177</v>
      </c>
      <c r="F56" s="91"/>
      <c r="G56" s="60"/>
      <c r="H56" s="63"/>
      <c r="P56" s="26"/>
      <c r="Q56" s="26"/>
      <c r="R56" s="92" t="s">
        <v>157</v>
      </c>
      <c r="S56" s="92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opLeftCell="B8" zoomScale="70" zoomScaleNormal="70" workbookViewId="0">
      <selection activeCell="R44" sqref="R44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86" t="s">
        <v>183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15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15">
        <f>E7*0.115</f>
        <v>1949.8192500000002</v>
      </c>
      <c r="Q7" s="15">
        <f>SUM(N7:P7)+G7</f>
        <v>7896.7492499999998</v>
      </c>
      <c r="R7" s="70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15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15">
        <f>E8*0.115</f>
        <v>557.75</v>
      </c>
      <c r="Q8" s="15">
        <f>SUM(N8:P8)+G8</f>
        <v>1858.44</v>
      </c>
      <c r="R8" s="70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 t="shared" si="1"/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2731.44</v>
      </c>
      <c r="R12" s="70">
        <f t="shared" ref="R12:R19" si="4">K12-Q12</f>
        <v>7268.5599999999995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19"/>
      <c r="J13" s="19"/>
      <c r="K13" s="15">
        <f t="shared" si="2"/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70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70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70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70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70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15">
        <f t="shared" si="3"/>
        <v>310.5</v>
      </c>
      <c r="Q18" s="15">
        <f t="shared" si="5"/>
        <v>801.51</v>
      </c>
      <c r="R18" s="70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15">
        <f t="shared" si="3"/>
        <v>362.25</v>
      </c>
      <c r="Q19" s="15">
        <f t="shared" si="5"/>
        <v>1501.77</v>
      </c>
      <c r="R19" s="70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</f>
        <v>2839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 t="shared" si="8"/>
        <v>4163</v>
      </c>
      <c r="Q20" s="34">
        <f t="shared" si="8"/>
        <v>11496.35</v>
      </c>
      <c r="R20" s="34">
        <f t="shared" si="8"/>
        <v>30053.649999999998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14</v>
      </c>
      <c r="G23" s="15"/>
      <c r="H23" s="15"/>
      <c r="I23" s="64">
        <v>356.67</v>
      </c>
      <c r="J23" s="15"/>
      <c r="K23" s="15">
        <f>E23-I23</f>
        <v>4993.33</v>
      </c>
      <c r="L23" s="15">
        <v>0</v>
      </c>
      <c r="M23" s="15">
        <v>453.47</v>
      </c>
      <c r="N23" s="15">
        <v>588.20000000000005</v>
      </c>
      <c r="O23" s="15">
        <v>0</v>
      </c>
      <c r="P23" s="15">
        <f>E23*0.115</f>
        <v>615.25</v>
      </c>
      <c r="Q23" s="15">
        <f>SUM(N23:P23)+G23</f>
        <v>1203.45</v>
      </c>
      <c r="R23" s="70">
        <f>K23-Q23</f>
        <v>3789.88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64">
        <v>1.69</v>
      </c>
      <c r="J24" s="15"/>
      <c r="K24" s="15">
        <f>E24-I24</f>
        <v>5348.31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15">
        <f>E24*0.115</f>
        <v>615.25</v>
      </c>
      <c r="Q24" s="15">
        <f>SUM(N24:P24)+G24</f>
        <v>1203.45</v>
      </c>
      <c r="R24" s="70">
        <f>K24-Q24</f>
        <v>4144.8600000000006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15">
        <f>E25*0.115</f>
        <v>615.25</v>
      </c>
      <c r="Q25" s="15">
        <f>SUM(N25:P25)+G25</f>
        <v>1203.45</v>
      </c>
      <c r="R25" s="70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358.36</v>
      </c>
      <c r="J26" s="34">
        <f>SUM(J23:J25)</f>
        <v>0</v>
      </c>
      <c r="K26" s="34">
        <f t="shared" ref="K26:U26" si="9">SUM(K23:K25)</f>
        <v>15691.64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 t="shared" si="9"/>
        <v>1845.75</v>
      </c>
      <c r="Q26" s="34">
        <f t="shared" si="9"/>
        <v>3610.3500000000004</v>
      </c>
      <c r="R26" s="34">
        <f t="shared" si="9"/>
        <v>12081.29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15">
        <f>E29*0.115</f>
        <v>615.25</v>
      </c>
      <c r="Q29" s="15">
        <f t="shared" ref="Q29:Q39" si="11">SUM(N29:P29)+G29</f>
        <v>1203.45</v>
      </c>
      <c r="R29" s="70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64">
        <v>16.97</v>
      </c>
      <c r="J30" s="20"/>
      <c r="K30" s="20">
        <f t="shared" si="10"/>
        <v>5333.03</v>
      </c>
      <c r="L30" s="20">
        <v>0</v>
      </c>
      <c r="M30" s="20">
        <v>587.48</v>
      </c>
      <c r="N30" s="20">
        <v>588.20000000000005</v>
      </c>
      <c r="O30" s="15">
        <v>0</v>
      </c>
      <c r="P30" s="15">
        <f t="shared" ref="P30:P39" si="14">E30*0.115</f>
        <v>615.25</v>
      </c>
      <c r="Q30" s="15">
        <f t="shared" si="11"/>
        <v>1203.45</v>
      </c>
      <c r="R30" s="70">
        <f t="shared" si="12"/>
        <v>4129.58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15">
        <f t="shared" si="14"/>
        <v>615.25</v>
      </c>
      <c r="Q31" s="15">
        <f t="shared" si="11"/>
        <v>1203.45</v>
      </c>
      <c r="R31" s="70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15">
        <f t="shared" si="14"/>
        <v>615.25</v>
      </c>
      <c r="Q32" s="15">
        <f t="shared" si="11"/>
        <v>1203.45</v>
      </c>
      <c r="R32" s="70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15">
        <v>595</v>
      </c>
      <c r="H33" s="15"/>
      <c r="I33" s="64">
        <v>3.39</v>
      </c>
      <c r="J33" s="20"/>
      <c r="K33" s="20">
        <f t="shared" si="10"/>
        <v>5346.61</v>
      </c>
      <c r="L33" s="20">
        <v>0</v>
      </c>
      <c r="M33" s="20">
        <v>517.23</v>
      </c>
      <c r="N33" s="20">
        <v>588.02</v>
      </c>
      <c r="O33" s="15">
        <v>0</v>
      </c>
      <c r="P33" s="15">
        <f t="shared" si="14"/>
        <v>615.25</v>
      </c>
      <c r="Q33" s="15">
        <f t="shared" si="11"/>
        <v>1798.27</v>
      </c>
      <c r="R33" s="70">
        <f t="shared" si="12"/>
        <v>3548.3399999999997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20"/>
      <c r="J34" s="20"/>
      <c r="K34" s="20">
        <f>E34+H34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15">
        <f>E34*0.115</f>
        <v>615.25</v>
      </c>
      <c r="Q34" s="15">
        <f t="shared" si="11"/>
        <v>1203.45</v>
      </c>
      <c r="R34" s="70">
        <f t="shared" si="12"/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5.94</v>
      </c>
      <c r="J35" s="20"/>
      <c r="K35" s="20">
        <f>E35-I35</f>
        <v>5344.06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15">
        <f t="shared" si="14"/>
        <v>615.25</v>
      </c>
      <c r="Q35" s="15">
        <f>SUM(N35:P35)+G35</f>
        <v>1203.45</v>
      </c>
      <c r="R35" s="70">
        <f>K35-Q35</f>
        <v>4140.6100000000006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15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15">
        <f t="shared" si="14"/>
        <v>615.25</v>
      </c>
      <c r="Q36" s="15">
        <f t="shared" si="11"/>
        <v>2393.4499999999998</v>
      </c>
      <c r="R36" s="70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15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15">
        <f t="shared" si="14"/>
        <v>615.25</v>
      </c>
      <c r="Q37" s="15">
        <f>SUM(N37:P37)+G37</f>
        <v>2131.0700000000002</v>
      </c>
      <c r="R37" s="70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15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15">
        <f t="shared" si="14"/>
        <v>615.25</v>
      </c>
      <c r="Q38" s="15">
        <f t="shared" si="11"/>
        <v>2987.45</v>
      </c>
      <c r="R38" s="70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15"/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15">
        <f t="shared" si="14"/>
        <v>615.25</v>
      </c>
      <c r="Q39" s="15">
        <f t="shared" si="11"/>
        <v>1203.45</v>
      </c>
      <c r="R39" s="70">
        <f t="shared" si="12"/>
        <v>4146.55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4496.62</v>
      </c>
      <c r="H40" s="34"/>
      <c r="I40" s="34">
        <f>SUM(I29:I39)</f>
        <v>26.3</v>
      </c>
      <c r="J40" s="34">
        <f>SUM(J29:J39)</f>
        <v>0</v>
      </c>
      <c r="K40" s="34">
        <f>SUM(K29:K39)</f>
        <v>58823.7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 t="shared" si="16"/>
        <v>6767.75</v>
      </c>
      <c r="Q40" s="34">
        <f t="shared" si="16"/>
        <v>17734.39</v>
      </c>
      <c r="R40" s="34">
        <f t="shared" si="16"/>
        <v>41089.310000000005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15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70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70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 t="shared" si="19"/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70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 t="shared" si="20"/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10844.619999999999</v>
      </c>
      <c r="H52" s="17"/>
      <c r="I52" s="17">
        <f>I9+I20+I26+I40+I45+I49</f>
        <v>384.66</v>
      </c>
      <c r="J52" s="17">
        <f t="shared" ref="J52:U52" si="21">J9+J20+J26+J40+J45+J49</f>
        <v>0</v>
      </c>
      <c r="K52" s="17">
        <f t="shared" si="21"/>
        <v>158570.28999999998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 t="shared" si="21"/>
        <v>17664.56925</v>
      </c>
      <c r="Q52" s="17">
        <f t="shared" si="21"/>
        <v>47734.619250000003</v>
      </c>
      <c r="R52" s="54">
        <f t="shared" si="21"/>
        <v>110835.67075</v>
      </c>
      <c r="S52" s="17">
        <f t="shared" si="21"/>
        <v>7020.3799999999992</v>
      </c>
      <c r="T52" s="17">
        <f t="shared" si="21"/>
        <v>30720.989999999998</v>
      </c>
      <c r="U52" s="55">
        <f t="shared" si="21"/>
        <v>37741.370000000003</v>
      </c>
    </row>
    <row r="55" spans="2:21" ht="15.75" thickBot="1" x14ac:dyDescent="0.3">
      <c r="E55" s="89"/>
      <c r="F55" s="89"/>
      <c r="G55" s="65"/>
      <c r="H55" s="65"/>
      <c r="P55" s="90"/>
      <c r="Q55" s="90"/>
    </row>
    <row r="56" spans="2:21" x14ac:dyDescent="0.25">
      <c r="E56" s="91" t="s">
        <v>177</v>
      </c>
      <c r="F56" s="91"/>
      <c r="G56" s="66"/>
      <c r="H56" s="66"/>
      <c r="P56" s="26"/>
      <c r="Q56" s="26"/>
      <c r="R56" s="92" t="s">
        <v>157</v>
      </c>
      <c r="S56" s="92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zoomScale="85" zoomScaleNormal="85" workbookViewId="0">
      <selection activeCell="I13" sqref="I13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86" t="s">
        <v>184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15">
        <f>E7*0.115</f>
        <v>1949.8192500000002</v>
      </c>
      <c r="Q7" s="15">
        <f>SUM(N7:P7)+G7</f>
        <v>7896.7492499999998</v>
      </c>
      <c r="R7" s="74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15">
        <f>E8*0.115</f>
        <v>557.75</v>
      </c>
      <c r="Q8" s="15">
        <f>SUM(N8:P8)+G8</f>
        <v>1858.44</v>
      </c>
      <c r="R8" s="74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 t="shared" si="1"/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/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2731.44</v>
      </c>
      <c r="R12" s="74">
        <f t="shared" ref="R12:R19" si="4">K12-Q12</f>
        <v>7268.5599999999995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2">
        <v>1.7</v>
      </c>
      <c r="J13" s="19"/>
      <c r="K13" s="15">
        <f>E13-I13</f>
        <v>5348.3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74">
        <f t="shared" si="4"/>
        <v>4144.8500000000004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7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74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74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74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15">
        <f t="shared" si="3"/>
        <v>310.5</v>
      </c>
      <c r="Q18" s="15">
        <f t="shared" si="5"/>
        <v>801.51</v>
      </c>
      <c r="R18" s="74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15">
        <f t="shared" si="3"/>
        <v>362.25</v>
      </c>
      <c r="Q19" s="15">
        <f t="shared" si="5"/>
        <v>1501.77</v>
      </c>
      <c r="R19" s="74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</f>
        <v>2839</v>
      </c>
      <c r="H20" s="34"/>
      <c r="I20" s="34">
        <f t="shared" ref="I20:U20" si="8">SUM(I12:I19)</f>
        <v>1.7</v>
      </c>
      <c r="J20" s="34">
        <f t="shared" si="8"/>
        <v>0</v>
      </c>
      <c r="K20" s="34">
        <f t="shared" si="8"/>
        <v>41548.300000000003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 t="shared" si="8"/>
        <v>4163</v>
      </c>
      <c r="Q20" s="34">
        <f t="shared" si="8"/>
        <v>11496.35</v>
      </c>
      <c r="R20" s="34">
        <f t="shared" si="8"/>
        <v>30051.949999999997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15">
        <f>E23*0.115</f>
        <v>615.25</v>
      </c>
      <c r="Q23" s="15">
        <f>SUM(N23:P23)+G23</f>
        <v>1203.45</v>
      </c>
      <c r="R23" s="74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15">
        <f>E24*0.115</f>
        <v>615.25</v>
      </c>
      <c r="Q24" s="15">
        <f>SUM(N24:P24)+G24</f>
        <v>1203.45</v>
      </c>
      <c r="R24" s="74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15">
        <f>E25*0.115</f>
        <v>615.25</v>
      </c>
      <c r="Q25" s="15">
        <f>SUM(N25:P25)+G25</f>
        <v>1203.45</v>
      </c>
      <c r="R25" s="74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 t="shared" si="9"/>
        <v>1845.75</v>
      </c>
      <c r="Q26" s="34">
        <f t="shared" si="9"/>
        <v>3610.3500000000004</v>
      </c>
      <c r="R26" s="34">
        <f t="shared" si="9"/>
        <v>12439.650000000001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15">
        <f>E29*0.115</f>
        <v>615.25</v>
      </c>
      <c r="Q29" s="15">
        <f t="shared" ref="Q29:Q39" si="11">SUM(N29:P29)+G29</f>
        <v>1203.45</v>
      </c>
      <c r="R29" s="74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2">
        <v>3.4</v>
      </c>
      <c r="J30" s="20"/>
      <c r="K30" s="20">
        <f t="shared" si="10"/>
        <v>5346.6</v>
      </c>
      <c r="L30" s="20">
        <v>0</v>
      </c>
      <c r="M30" s="20">
        <v>587.48</v>
      </c>
      <c r="N30" s="20">
        <v>588.20000000000005</v>
      </c>
      <c r="O30" s="15">
        <v>0</v>
      </c>
      <c r="P30" s="15">
        <f t="shared" ref="P30:P39" si="14">E30*0.115</f>
        <v>615.25</v>
      </c>
      <c r="Q30" s="15">
        <f t="shared" si="11"/>
        <v>1203.45</v>
      </c>
      <c r="R30" s="74">
        <f t="shared" si="12"/>
        <v>4143.1500000000005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15">
        <f t="shared" si="14"/>
        <v>615.25</v>
      </c>
      <c r="Q31" s="15">
        <f t="shared" si="11"/>
        <v>1203.45</v>
      </c>
      <c r="R31" s="74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15">
        <f t="shared" si="14"/>
        <v>615.25</v>
      </c>
      <c r="Q32" s="15">
        <f t="shared" si="11"/>
        <v>1203.45</v>
      </c>
      <c r="R32" s="74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72">
        <v>1.7</v>
      </c>
      <c r="J33" s="20"/>
      <c r="K33" s="20">
        <f>E33-I33</f>
        <v>5348.3</v>
      </c>
      <c r="L33" s="20">
        <v>0</v>
      </c>
      <c r="M33" s="20">
        <v>517.23</v>
      </c>
      <c r="N33" s="20">
        <v>588.02</v>
      </c>
      <c r="O33" s="15">
        <v>0</v>
      </c>
      <c r="P33" s="15">
        <f t="shared" si="14"/>
        <v>615.25</v>
      </c>
      <c r="Q33" s="15">
        <f t="shared" si="11"/>
        <v>1798.27</v>
      </c>
      <c r="R33" s="74">
        <f>K33-Q33</f>
        <v>3550.03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2">
        <v>12.74</v>
      </c>
      <c r="J34" s="20"/>
      <c r="K34" s="20">
        <f>E34-I34</f>
        <v>5337.26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15">
        <f>E34*0.115</f>
        <v>615.25</v>
      </c>
      <c r="Q34" s="15">
        <f>SUM(N34:P34)+G34</f>
        <v>1203.45</v>
      </c>
      <c r="R34" s="74">
        <f>K34-Q34</f>
        <v>4133.8100000000004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15">
        <f t="shared" si="14"/>
        <v>615.25</v>
      </c>
      <c r="Q35" s="15">
        <f>SUM(N35:P35)+G35</f>
        <v>1203.45</v>
      </c>
      <c r="R35" s="74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15">
        <f t="shared" si="14"/>
        <v>615.25</v>
      </c>
      <c r="Q36" s="15">
        <f t="shared" si="11"/>
        <v>2393.4499999999998</v>
      </c>
      <c r="R36" s="74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15">
        <f t="shared" si="14"/>
        <v>615.25</v>
      </c>
      <c r="Q37" s="15">
        <f>SUM(N37:P37)+G37</f>
        <v>2131.0700000000002</v>
      </c>
      <c r="R37" s="74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15">
        <f t="shared" si="14"/>
        <v>615.25</v>
      </c>
      <c r="Q38" s="15">
        <f t="shared" si="11"/>
        <v>2987.45</v>
      </c>
      <c r="R38" s="74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73">
        <v>1900</v>
      </c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15">
        <f t="shared" si="14"/>
        <v>615.25</v>
      </c>
      <c r="Q39" s="15">
        <f t="shared" si="11"/>
        <v>3103.45</v>
      </c>
      <c r="R39" s="74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17.84</v>
      </c>
      <c r="J40" s="34">
        <f>SUM(J29:J39)</f>
        <v>0</v>
      </c>
      <c r="K40" s="34">
        <f>SUM(K29:K39)</f>
        <v>58832.159999999996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 t="shared" si="16"/>
        <v>6767.75</v>
      </c>
      <c r="Q40" s="34">
        <f t="shared" si="16"/>
        <v>19634.39</v>
      </c>
      <c r="R40" s="34">
        <f t="shared" si="16"/>
        <v>39197.770000000004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2">
        <v>29.73</v>
      </c>
      <c r="J43" s="20"/>
      <c r="K43" s="20">
        <f>E43-I43</f>
        <v>5320.27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74">
        <f>K43-Q43</f>
        <v>4116.8200000000006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74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29.73</v>
      </c>
      <c r="J45" s="34">
        <f>J43+J44</f>
        <v>0</v>
      </c>
      <c r="K45" s="34">
        <f t="shared" ref="K45:U45" si="19">K43+K44</f>
        <v>10670.27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 t="shared" si="19"/>
        <v>1230.5</v>
      </c>
      <c r="Q45" s="34">
        <f t="shared" si="19"/>
        <v>2406.9</v>
      </c>
      <c r="R45" s="34">
        <f t="shared" si="19"/>
        <v>8263.3700000000008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74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 t="shared" si="20"/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12744.619999999999</v>
      </c>
      <c r="H52" s="17"/>
      <c r="I52" s="17">
        <f>I9+I20+I26+I40+I45+I49</f>
        <v>49.269999999999996</v>
      </c>
      <c r="J52" s="17">
        <f t="shared" ref="J52:U52" si="21">J9+J20+J26+J40+J45+J49</f>
        <v>0</v>
      </c>
      <c r="K52" s="17">
        <f>K9+K20+K26+K40+K45+K49</f>
        <v>158905.68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 t="shared" si="21"/>
        <v>17664.56925</v>
      </c>
      <c r="Q52" s="17">
        <f t="shared" si="21"/>
        <v>49634.619250000003</v>
      </c>
      <c r="R52" s="54">
        <f>R9+R20+R26+R40+R45+R49</f>
        <v>109271.06075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89"/>
      <c r="F55" s="89"/>
      <c r="G55" s="68"/>
      <c r="H55" s="68"/>
      <c r="P55" s="90"/>
      <c r="Q55" s="90"/>
    </row>
    <row r="56" spans="2:21" x14ac:dyDescent="0.25">
      <c r="E56" s="91" t="s">
        <v>177</v>
      </c>
      <c r="F56" s="91"/>
      <c r="G56" s="69"/>
      <c r="H56" s="69"/>
      <c r="P56" s="26"/>
      <c r="Q56" s="26"/>
      <c r="R56" s="92" t="s">
        <v>157</v>
      </c>
      <c r="S56" s="92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2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zoomScale="85" zoomScaleNormal="85" workbookViewId="0">
      <selection activeCell="C12" sqref="C12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86" t="s">
        <v>185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74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74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73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74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7"/>
      <c r="J13" s="19"/>
      <c r="K13" s="15">
        <f>E13-I13</f>
        <v>5350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74">
        <f t="shared" si="4"/>
        <v>4146.55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74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74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74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74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74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1501.77</v>
      </c>
      <c r="R19" s="74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6173</v>
      </c>
      <c r="H20" s="34"/>
      <c r="I20" s="34">
        <f t="shared" ref="I20:U20" si="8">SUM(I12:I19)</f>
        <v>0</v>
      </c>
      <c r="J20" s="34">
        <f t="shared" si="8"/>
        <v>0</v>
      </c>
      <c r="K20" s="34">
        <f t="shared" si="8"/>
        <v>41550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14830.35</v>
      </c>
      <c r="R20" s="34">
        <f t="shared" si="8"/>
        <v>26719.649999999998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1203.45</v>
      </c>
      <c r="R23" s="74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1203.45</v>
      </c>
      <c r="R24" s="74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79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74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3610.3500000000004</v>
      </c>
      <c r="R26" s="34">
        <f t="shared" si="9"/>
        <v>12439.650000000001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74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2">
        <v>1.7</v>
      </c>
      <c r="J30" s="20"/>
      <c r="K30" s="20">
        <f t="shared" si="10"/>
        <v>5348.3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74">
        <f t="shared" si="12"/>
        <v>4144.8500000000004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74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20"/>
      <c r="J32" s="20"/>
      <c r="K32" s="20">
        <f t="shared" si="10"/>
        <v>5350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74">
        <f t="shared" si="12"/>
        <v>4146.55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72">
        <v>2.54</v>
      </c>
      <c r="J33" s="20"/>
      <c r="K33" s="20">
        <f>E33-I33</f>
        <v>5347.46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74">
        <f>K33-Q33</f>
        <v>3549.19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2">
        <v>5.94</v>
      </c>
      <c r="J34" s="20"/>
      <c r="K34" s="20">
        <f>E34-I34</f>
        <v>5344.06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74">
        <f>K34-Q34</f>
        <v>4140.6100000000006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64">
        <v>0.84</v>
      </c>
      <c r="J35" s="20"/>
      <c r="K35" s="20">
        <f>E35-I35</f>
        <v>5349.16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74">
        <f>K35-Q35</f>
        <v>4145.71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74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74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74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73">
        <v>1900</v>
      </c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74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11.02</v>
      </c>
      <c r="J40" s="34">
        <f>SUM(J29:J39)</f>
        <v>0</v>
      </c>
      <c r="K40" s="34">
        <f>SUM(K29:K39)</f>
        <v>58838.979999999996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39204.590000000004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74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74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74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16078.619999999999</v>
      </c>
      <c r="H52" s="17"/>
      <c r="I52" s="17">
        <f>I9+I20+I26+I40+I45+I49</f>
        <v>11.02</v>
      </c>
      <c r="J52" s="17">
        <f t="shared" ref="J52:U52" si="21">J9+J20+J26+J40+J45+J49</f>
        <v>0</v>
      </c>
      <c r="K52" s="17">
        <f>K9+K20+K26+K40+K45+K49</f>
        <v>158943.93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52968.619250000003</v>
      </c>
      <c r="R52" s="54">
        <f>R9+R20+R26+R40+R45+R49</f>
        <v>105975.31075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89"/>
      <c r="F55" s="89"/>
      <c r="G55" s="75"/>
      <c r="H55" s="75"/>
      <c r="P55" s="90"/>
      <c r="Q55" s="90"/>
    </row>
    <row r="56" spans="2:21" x14ac:dyDescent="0.25">
      <c r="E56" s="91" t="s">
        <v>177</v>
      </c>
      <c r="F56" s="91"/>
      <c r="G56" s="76"/>
      <c r="H56" s="76"/>
      <c r="P56" s="26"/>
      <c r="Q56" s="26"/>
      <c r="R56" s="92" t="s">
        <v>157</v>
      </c>
      <c r="S56" s="92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3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0"/>
  <sheetViews>
    <sheetView tabSelected="1" zoomScale="85" zoomScaleNormal="85" workbookViewId="0">
      <selection activeCell="B5" sqref="B5"/>
    </sheetView>
  </sheetViews>
  <sheetFormatPr baseColWidth="10" defaultRowHeight="15" x14ac:dyDescent="0.25"/>
  <cols>
    <col min="1" max="1" width="0.7109375" customWidth="1"/>
    <col min="2" max="2" width="17.140625" customWidth="1"/>
    <col min="3" max="3" width="34.140625" customWidth="1"/>
    <col min="4" max="4" width="28" customWidth="1"/>
    <col min="5" max="5" width="18.42578125" customWidth="1"/>
    <col min="6" max="6" width="12.7109375" customWidth="1"/>
    <col min="7" max="7" width="12.28515625" customWidth="1"/>
    <col min="8" max="8" width="14.140625" customWidth="1"/>
    <col min="9" max="9" width="13.85546875" customWidth="1"/>
    <col min="10" max="10" width="0" hidden="1" customWidth="1"/>
    <col min="11" max="11" width="14.42578125" customWidth="1"/>
    <col min="12" max="12" width="9.42578125" customWidth="1"/>
    <col min="13" max="13" width="14.42578125" customWidth="1"/>
    <col min="14" max="14" width="12.7109375" customWidth="1"/>
    <col min="15" max="15" width="11.42578125" hidden="1" customWidth="1"/>
    <col min="16" max="16" width="12.85546875" customWidth="1"/>
    <col min="17" max="17" width="16.5703125" customWidth="1"/>
    <col min="18" max="18" width="18.28515625" customWidth="1"/>
    <col min="19" max="19" width="16.140625" customWidth="1"/>
    <col min="20" max="20" width="14.85546875" customWidth="1"/>
    <col min="21" max="21" width="17" customWidth="1"/>
  </cols>
  <sheetData>
    <row r="3" spans="2:21" x14ac:dyDescent="0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16.5" customHeight="1" x14ac:dyDescent="0.25">
      <c r="B4" s="86" t="s">
        <v>187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s="56" customFormat="1" ht="39.75" customHeight="1" thickBot="1" x14ac:dyDescent="0.3">
      <c r="B5" s="42" t="s">
        <v>9</v>
      </c>
      <c r="C5" s="43" t="s">
        <v>10</v>
      </c>
      <c r="D5" s="43" t="s">
        <v>0</v>
      </c>
      <c r="E5" s="44" t="s">
        <v>11</v>
      </c>
      <c r="F5" s="44" t="s">
        <v>150</v>
      </c>
      <c r="G5" s="61" t="s">
        <v>180</v>
      </c>
      <c r="H5" s="61" t="s">
        <v>182</v>
      </c>
      <c r="I5" s="45" t="s">
        <v>169</v>
      </c>
      <c r="J5" s="44" t="s">
        <v>170</v>
      </c>
      <c r="K5" s="44" t="s">
        <v>12</v>
      </c>
      <c r="L5" s="44" t="s">
        <v>107</v>
      </c>
      <c r="M5" s="44" t="s">
        <v>143</v>
      </c>
      <c r="N5" s="44" t="s">
        <v>13</v>
      </c>
      <c r="O5" s="44" t="s">
        <v>171</v>
      </c>
      <c r="P5" s="44" t="s">
        <v>16</v>
      </c>
      <c r="Q5" s="44" t="s">
        <v>17</v>
      </c>
      <c r="R5" s="44" t="s">
        <v>72</v>
      </c>
      <c r="S5" s="43" t="s">
        <v>8</v>
      </c>
      <c r="T5" s="43" t="s">
        <v>18</v>
      </c>
      <c r="U5" s="46" t="s">
        <v>73</v>
      </c>
    </row>
    <row r="6" spans="2:21" ht="15.75" thickTop="1" x14ac:dyDescent="0.25">
      <c r="B6" s="2" t="s">
        <v>19</v>
      </c>
      <c r="C6" s="2" t="s">
        <v>20</v>
      </c>
      <c r="D6" s="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21" x14ac:dyDescent="0.25">
      <c r="B7" t="s">
        <v>21</v>
      </c>
      <c r="C7" s="11" t="s">
        <v>22</v>
      </c>
      <c r="D7" t="s">
        <v>25</v>
      </c>
      <c r="E7" s="15">
        <v>16954.95</v>
      </c>
      <c r="F7" s="29">
        <v>15</v>
      </c>
      <c r="G7" s="73">
        <v>2700</v>
      </c>
      <c r="H7" s="15"/>
      <c r="I7" s="15"/>
      <c r="J7" s="15"/>
      <c r="K7" s="15">
        <f>E7-I7</f>
        <v>16954.95</v>
      </c>
      <c r="L7" s="15">
        <v>0</v>
      </c>
      <c r="M7" s="15">
        <v>3246.93</v>
      </c>
      <c r="N7" s="15">
        <f>M7-L7</f>
        <v>3246.93</v>
      </c>
      <c r="O7" s="15">
        <v>0</v>
      </c>
      <c r="P7" s="20">
        <f>E7*0.115</f>
        <v>1949.8192500000002</v>
      </c>
      <c r="Q7" s="15">
        <f>SUM(N7:P7)+G7</f>
        <v>7896.7492499999998</v>
      </c>
      <c r="R7" s="80">
        <f>K7-Q7</f>
        <v>9058.20075</v>
      </c>
      <c r="S7" s="11">
        <v>328.67</v>
      </c>
      <c r="T7" s="11">
        <v>3390.99</v>
      </c>
      <c r="U7" s="35">
        <f>SUM(S7:T7)</f>
        <v>3719.66</v>
      </c>
    </row>
    <row r="8" spans="2:21" x14ac:dyDescent="0.25">
      <c r="B8" t="s">
        <v>23</v>
      </c>
      <c r="C8" s="11" t="s">
        <v>24</v>
      </c>
      <c r="D8" t="s">
        <v>3</v>
      </c>
      <c r="E8" s="15">
        <v>4850</v>
      </c>
      <c r="F8" s="29">
        <v>15</v>
      </c>
      <c r="G8" s="73">
        <v>809</v>
      </c>
      <c r="H8" s="15"/>
      <c r="I8" s="15"/>
      <c r="J8" s="15"/>
      <c r="K8" s="15">
        <f>E8-I8</f>
        <v>4850</v>
      </c>
      <c r="L8" s="15">
        <v>0</v>
      </c>
      <c r="M8" s="15">
        <v>491.69</v>
      </c>
      <c r="N8" s="15">
        <f>M8-L8</f>
        <v>491.69</v>
      </c>
      <c r="O8" s="15">
        <v>0</v>
      </c>
      <c r="P8" s="20">
        <f>E8*0.115</f>
        <v>557.75</v>
      </c>
      <c r="Q8" s="15">
        <f>SUM(N8:P8)+G8</f>
        <v>1858.44</v>
      </c>
      <c r="R8" s="80">
        <f>K8-Q8</f>
        <v>2991.56</v>
      </c>
      <c r="S8" s="11">
        <v>253.58</v>
      </c>
      <c r="T8" s="11">
        <v>970</v>
      </c>
      <c r="U8" s="35">
        <f t="shared" ref="U8" si="0">SUM(S8:T8)</f>
        <v>1223.58</v>
      </c>
    </row>
    <row r="9" spans="2:21" x14ac:dyDescent="0.25">
      <c r="B9" s="7" t="s">
        <v>26</v>
      </c>
      <c r="C9" s="30"/>
      <c r="D9" s="30"/>
      <c r="E9" s="34">
        <f>SUM(E7:E8)</f>
        <v>21804.95</v>
      </c>
      <c r="F9" s="34"/>
      <c r="G9" s="34">
        <f>+G8+G7</f>
        <v>3509</v>
      </c>
      <c r="H9" s="34"/>
      <c r="I9" s="34">
        <f t="shared" ref="I9:U9" si="1">SUM(I7:I8)</f>
        <v>0</v>
      </c>
      <c r="J9" s="34">
        <f t="shared" si="1"/>
        <v>0</v>
      </c>
      <c r="K9" s="34">
        <f t="shared" si="1"/>
        <v>21804.95</v>
      </c>
      <c r="L9" s="34">
        <f t="shared" si="1"/>
        <v>0</v>
      </c>
      <c r="M9" s="34">
        <f t="shared" si="1"/>
        <v>3738.62</v>
      </c>
      <c r="N9" s="34">
        <f t="shared" si="1"/>
        <v>3738.62</v>
      </c>
      <c r="O9" s="34">
        <f t="shared" si="1"/>
        <v>0</v>
      </c>
      <c r="P9" s="34">
        <f>SUM(P7:P8)</f>
        <v>2507.5692500000005</v>
      </c>
      <c r="Q9" s="34">
        <f t="shared" si="1"/>
        <v>9755.1892499999994</v>
      </c>
      <c r="R9" s="34">
        <f t="shared" si="1"/>
        <v>12049.760749999999</v>
      </c>
      <c r="S9" s="34">
        <f t="shared" si="1"/>
        <v>582.25</v>
      </c>
      <c r="T9" s="34">
        <f t="shared" si="1"/>
        <v>4360.99</v>
      </c>
      <c r="U9" s="34">
        <f t="shared" si="1"/>
        <v>4943.24</v>
      </c>
    </row>
    <row r="10" spans="2:21" ht="10.5" hidden="1" customHeight="1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21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21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73">
        <v>3334</v>
      </c>
      <c r="H12" s="15"/>
      <c r="I12" s="15"/>
      <c r="J12" s="15"/>
      <c r="K12" s="15">
        <f t="shared" ref="K12:K19" si="2">E12-I12</f>
        <v>10000</v>
      </c>
      <c r="L12" s="15">
        <v>0</v>
      </c>
      <c r="M12" s="15">
        <v>1581.44</v>
      </c>
      <c r="N12" s="15">
        <f>M12-L12</f>
        <v>1581.44</v>
      </c>
      <c r="O12" s="15">
        <v>0</v>
      </c>
      <c r="P12" s="15">
        <f t="shared" ref="P12:P19" si="3">E12*0.115</f>
        <v>1150</v>
      </c>
      <c r="Q12" s="15">
        <f>SUM(N12:P12)+G12</f>
        <v>6065.4400000000005</v>
      </c>
      <c r="R12" s="80">
        <f t="shared" ref="R12:R19" si="4">K12-Q12</f>
        <v>3934.5599999999995</v>
      </c>
      <c r="S12" s="11">
        <v>285.52999999999997</v>
      </c>
      <c r="T12" s="11">
        <v>2000</v>
      </c>
      <c r="U12" s="35">
        <f>S12+T12</f>
        <v>2285.5299999999997</v>
      </c>
    </row>
    <row r="13" spans="2:21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5"/>
      <c r="H13" s="15"/>
      <c r="I13" s="72">
        <v>1.7</v>
      </c>
      <c r="J13" s="19"/>
      <c r="K13" s="15">
        <f>E13-I13</f>
        <v>5348.3</v>
      </c>
      <c r="L13" s="15">
        <v>0</v>
      </c>
      <c r="M13" s="15">
        <v>586.75</v>
      </c>
      <c r="N13" s="15">
        <v>588.20000000000005</v>
      </c>
      <c r="O13" s="15">
        <v>0</v>
      </c>
      <c r="P13" s="15">
        <f t="shared" si="3"/>
        <v>615.25</v>
      </c>
      <c r="Q13" s="15">
        <f t="shared" ref="Q13:Q19" si="5">SUM(N13:P13)+G13</f>
        <v>1203.45</v>
      </c>
      <c r="R13" s="80">
        <f t="shared" si="4"/>
        <v>4144.8500000000004</v>
      </c>
      <c r="S13" s="11">
        <v>256.68</v>
      </c>
      <c r="T13" s="11">
        <v>1070</v>
      </c>
      <c r="U13" s="35">
        <f>S13+T13</f>
        <v>1326.68</v>
      </c>
    </row>
    <row r="14" spans="2:21" x14ac:dyDescent="0.25">
      <c r="B14" t="s">
        <v>34</v>
      </c>
      <c r="C14" s="11" t="s">
        <v>178</v>
      </c>
      <c r="D14" t="s">
        <v>179</v>
      </c>
      <c r="E14" s="15">
        <v>5350</v>
      </c>
      <c r="F14" s="29">
        <v>15</v>
      </c>
      <c r="G14" s="15"/>
      <c r="H14" s="20"/>
      <c r="I14" s="19"/>
      <c r="J14" s="19"/>
      <c r="K14" s="15">
        <f>+E14+H14</f>
        <v>5350</v>
      </c>
      <c r="L14" s="15">
        <v>0</v>
      </c>
      <c r="M14" s="15">
        <v>586.75</v>
      </c>
      <c r="N14" s="15">
        <v>588.20000000000005</v>
      </c>
      <c r="O14" s="15">
        <v>0</v>
      </c>
      <c r="P14" s="15"/>
      <c r="Q14" s="15">
        <f>SUM(N14:P14)+G14</f>
        <v>588.20000000000005</v>
      </c>
      <c r="R14" s="80">
        <f>K14-Q14</f>
        <v>4761.8</v>
      </c>
      <c r="S14" s="11">
        <v>256.68</v>
      </c>
      <c r="T14" s="11">
        <v>0</v>
      </c>
      <c r="U14" s="35">
        <f>S14+T14</f>
        <v>256.68</v>
      </c>
    </row>
    <row r="15" spans="2:21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/>
      <c r="H15" s="15"/>
      <c r="I15" s="15"/>
      <c r="J15" s="15"/>
      <c r="K15" s="15">
        <f t="shared" si="2"/>
        <v>6000</v>
      </c>
      <c r="L15" s="15">
        <v>0</v>
      </c>
      <c r="M15" s="15">
        <v>727.04</v>
      </c>
      <c r="N15" s="15">
        <f t="shared" ref="N15:N19" si="6">M15-L15</f>
        <v>727.04</v>
      </c>
      <c r="O15" s="15">
        <v>0</v>
      </c>
      <c r="P15" s="15">
        <f t="shared" si="3"/>
        <v>690</v>
      </c>
      <c r="Q15" s="15">
        <f t="shared" si="5"/>
        <v>1417.04</v>
      </c>
      <c r="R15" s="80">
        <f t="shared" si="4"/>
        <v>4582.96</v>
      </c>
      <c r="S15" s="11">
        <v>260.72000000000003</v>
      </c>
      <c r="T15" s="11">
        <v>1200</v>
      </c>
      <c r="U15" s="35">
        <f>S15+T15</f>
        <v>1460.72</v>
      </c>
    </row>
    <row r="16" spans="2:21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73">
        <v>750</v>
      </c>
      <c r="H16" s="15"/>
      <c r="I16" s="15"/>
      <c r="J16" s="15"/>
      <c r="K16" s="15">
        <f t="shared" si="2"/>
        <v>4500</v>
      </c>
      <c r="L16" s="15">
        <v>0</v>
      </c>
      <c r="M16" s="15">
        <v>428.97</v>
      </c>
      <c r="N16" s="15">
        <f t="shared" si="6"/>
        <v>428.97</v>
      </c>
      <c r="O16" s="15">
        <v>0</v>
      </c>
      <c r="P16" s="15">
        <f t="shared" si="3"/>
        <v>517.5</v>
      </c>
      <c r="Q16" s="15">
        <f t="shared" si="5"/>
        <v>1696.47</v>
      </c>
      <c r="R16" s="80">
        <f t="shared" si="4"/>
        <v>2803.5299999999997</v>
      </c>
      <c r="S16" s="11">
        <v>251.41</v>
      </c>
      <c r="T16" s="11">
        <v>900</v>
      </c>
      <c r="U16" s="35">
        <f>S16+T16</f>
        <v>1151.4100000000001</v>
      </c>
    </row>
    <row r="17" spans="2:21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73">
        <v>610</v>
      </c>
      <c r="H17" s="15"/>
      <c r="I17" s="15"/>
      <c r="J17" s="15"/>
      <c r="K17" s="15">
        <f t="shared" si="2"/>
        <v>4500</v>
      </c>
      <c r="L17" s="15">
        <v>0</v>
      </c>
      <c r="M17" s="15">
        <v>428.97</v>
      </c>
      <c r="N17" s="15">
        <v>428.97</v>
      </c>
      <c r="O17" s="15">
        <v>0</v>
      </c>
      <c r="P17" s="15">
        <f t="shared" si="3"/>
        <v>517.5</v>
      </c>
      <c r="Q17" s="15">
        <f t="shared" si="5"/>
        <v>1556.47</v>
      </c>
      <c r="R17" s="80">
        <f t="shared" si="4"/>
        <v>2943.5299999999997</v>
      </c>
      <c r="S17" s="11">
        <v>251.41</v>
      </c>
      <c r="T17" s="11">
        <v>900</v>
      </c>
      <c r="U17" s="35">
        <f t="shared" ref="U17:U19" si="7">S17+T17</f>
        <v>1151.4100000000001</v>
      </c>
    </row>
    <row r="18" spans="2:21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73">
        <v>450</v>
      </c>
      <c r="H18" s="15"/>
      <c r="I18" s="15"/>
      <c r="J18" s="15"/>
      <c r="K18" s="15">
        <f t="shared" si="2"/>
        <v>2700</v>
      </c>
      <c r="L18" s="15">
        <v>147.32</v>
      </c>
      <c r="M18" s="15">
        <v>188.33</v>
      </c>
      <c r="N18" s="15">
        <f t="shared" si="6"/>
        <v>41.010000000000019</v>
      </c>
      <c r="O18" s="15">
        <v>0</v>
      </c>
      <c r="P18" s="20">
        <f t="shared" si="3"/>
        <v>310.5</v>
      </c>
      <c r="Q18" s="15">
        <f t="shared" si="5"/>
        <v>801.51</v>
      </c>
      <c r="R18" s="80">
        <f t="shared" si="4"/>
        <v>1898.49</v>
      </c>
      <c r="S18" s="11">
        <v>240.25</v>
      </c>
      <c r="T18" s="11">
        <v>540</v>
      </c>
      <c r="U18" s="35">
        <f t="shared" si="7"/>
        <v>780.25</v>
      </c>
    </row>
    <row r="19" spans="2:21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73">
        <v>1029</v>
      </c>
      <c r="H19" s="15"/>
      <c r="I19" s="15"/>
      <c r="J19" s="15"/>
      <c r="K19" s="15">
        <f t="shared" si="2"/>
        <v>3150</v>
      </c>
      <c r="L19" s="15">
        <v>126.77</v>
      </c>
      <c r="M19" s="15">
        <v>237.29</v>
      </c>
      <c r="N19" s="15">
        <f t="shared" si="6"/>
        <v>110.52</v>
      </c>
      <c r="O19" s="15">
        <v>0</v>
      </c>
      <c r="P19" s="20">
        <f t="shared" si="3"/>
        <v>362.25</v>
      </c>
      <c r="Q19" s="15">
        <f t="shared" si="5"/>
        <v>1501.77</v>
      </c>
      <c r="R19" s="80">
        <f t="shared" si="4"/>
        <v>1648.23</v>
      </c>
      <c r="S19" s="11">
        <v>243.04</v>
      </c>
      <c r="T19" s="11">
        <v>630</v>
      </c>
      <c r="U19" s="35">
        <f t="shared" si="7"/>
        <v>873.04</v>
      </c>
    </row>
    <row r="20" spans="2:21" x14ac:dyDescent="0.25">
      <c r="B20" s="2" t="s">
        <v>26</v>
      </c>
      <c r="C20" s="30"/>
      <c r="D20" s="30"/>
      <c r="E20" s="34">
        <f>SUM(E12:E19)</f>
        <v>41550</v>
      </c>
      <c r="F20" s="34"/>
      <c r="G20" s="34">
        <f>+G19+G18+G17+G16+G12</f>
        <v>6173</v>
      </c>
      <c r="H20" s="34"/>
      <c r="I20" s="34">
        <f t="shared" ref="I20:U20" si="8">SUM(I12:I19)</f>
        <v>1.7</v>
      </c>
      <c r="J20" s="34">
        <f t="shared" si="8"/>
        <v>0</v>
      </c>
      <c r="K20" s="34">
        <f t="shared" si="8"/>
        <v>41548.300000000003</v>
      </c>
      <c r="L20" s="34">
        <f t="shared" si="8"/>
        <v>274.08999999999997</v>
      </c>
      <c r="M20" s="34">
        <f t="shared" si="8"/>
        <v>4765.54</v>
      </c>
      <c r="N20" s="34">
        <f t="shared" si="8"/>
        <v>4494.3500000000013</v>
      </c>
      <c r="O20" s="34">
        <f t="shared" si="8"/>
        <v>0</v>
      </c>
      <c r="P20" s="34">
        <f>SUM(P12:P19)</f>
        <v>4163</v>
      </c>
      <c r="Q20" s="34">
        <f t="shared" si="8"/>
        <v>14830.35</v>
      </c>
      <c r="R20" s="34">
        <f t="shared" si="8"/>
        <v>26717.949999999997</v>
      </c>
      <c r="S20" s="34">
        <f t="shared" si="8"/>
        <v>2045.7200000000003</v>
      </c>
      <c r="T20" s="34">
        <f t="shared" si="8"/>
        <v>7240</v>
      </c>
      <c r="U20" s="34">
        <f t="shared" si="8"/>
        <v>9285.7200000000012</v>
      </c>
    </row>
    <row r="21" spans="2:21" hidden="1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21" x14ac:dyDescent="0.25">
      <c r="B22" s="2" t="s">
        <v>50</v>
      </c>
      <c r="C22" s="2" t="s">
        <v>160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21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/>
      <c r="H23" s="15"/>
      <c r="I23" s="71"/>
      <c r="J23" s="15"/>
      <c r="K23" s="15">
        <f>E23-I23</f>
        <v>5350</v>
      </c>
      <c r="L23" s="15">
        <v>0</v>
      </c>
      <c r="M23" s="15">
        <v>453.47</v>
      </c>
      <c r="N23" s="15">
        <v>588.20000000000005</v>
      </c>
      <c r="O23" s="15">
        <v>0</v>
      </c>
      <c r="P23" s="20">
        <f>E23*0.115</f>
        <v>615.25</v>
      </c>
      <c r="Q23" s="15">
        <f>SUM(N23:P23)+G23</f>
        <v>1203.45</v>
      </c>
      <c r="R23" s="80">
        <f>K23-Q23</f>
        <v>4146.55</v>
      </c>
      <c r="S23" s="11">
        <v>256.68</v>
      </c>
      <c r="T23" s="11">
        <v>1070</v>
      </c>
      <c r="U23" s="35">
        <f>S23+T23</f>
        <v>1326.68</v>
      </c>
    </row>
    <row r="24" spans="2:21" x14ac:dyDescent="0.25">
      <c r="B24" t="s">
        <v>120</v>
      </c>
      <c r="C24" t="s">
        <v>93</v>
      </c>
      <c r="D24" t="s">
        <v>78</v>
      </c>
      <c r="E24" s="15">
        <v>5350</v>
      </c>
      <c r="F24" s="29">
        <v>15</v>
      </c>
      <c r="G24" s="15"/>
      <c r="H24" s="15"/>
      <c r="I24" s="71"/>
      <c r="J24" s="15"/>
      <c r="K24" s="15">
        <f>E24-I24</f>
        <v>5350</v>
      </c>
      <c r="L24" s="15">
        <v>0</v>
      </c>
      <c r="M24" s="15">
        <v>588.20000000000005</v>
      </c>
      <c r="N24" s="15">
        <f>M24-L24</f>
        <v>588.20000000000005</v>
      </c>
      <c r="O24" s="15">
        <v>0</v>
      </c>
      <c r="P24" s="20">
        <f>E24*0.115</f>
        <v>615.25</v>
      </c>
      <c r="Q24" s="15">
        <f>SUM(N24:P24)+G24</f>
        <v>1203.45</v>
      </c>
      <c r="R24" s="80">
        <f>K24-Q24</f>
        <v>4146.55</v>
      </c>
      <c r="S24" s="11">
        <v>256.68</v>
      </c>
      <c r="T24" s="11">
        <v>1070</v>
      </c>
      <c r="U24" s="35">
        <f>S24+T24</f>
        <v>1326.68</v>
      </c>
    </row>
    <row r="25" spans="2:21" x14ac:dyDescent="0.25">
      <c r="B25" t="s">
        <v>121</v>
      </c>
      <c r="C25" t="s">
        <v>114</v>
      </c>
      <c r="D25" t="s">
        <v>186</v>
      </c>
      <c r="E25" s="15">
        <v>5350</v>
      </c>
      <c r="F25" s="29">
        <v>15</v>
      </c>
      <c r="G25" s="15"/>
      <c r="H25" s="15"/>
      <c r="I25" s="15"/>
      <c r="J25" s="15"/>
      <c r="K25" s="15">
        <f>E25-I25</f>
        <v>5350</v>
      </c>
      <c r="L25" s="15">
        <v>0</v>
      </c>
      <c r="M25" s="15">
        <v>588.20000000000005</v>
      </c>
      <c r="N25" s="15">
        <f>M25-L25</f>
        <v>588.20000000000005</v>
      </c>
      <c r="O25" s="15">
        <v>0</v>
      </c>
      <c r="P25" s="20">
        <f>E25*0.115</f>
        <v>615.25</v>
      </c>
      <c r="Q25" s="15">
        <f>SUM(N25:P25)+G25</f>
        <v>1203.45</v>
      </c>
      <c r="R25" s="80">
        <f>K25-Q25</f>
        <v>4146.55</v>
      </c>
      <c r="S25" s="11">
        <v>256.68</v>
      </c>
      <c r="T25" s="11">
        <v>1070</v>
      </c>
      <c r="U25" s="35">
        <f>S25+T25</f>
        <v>1326.68</v>
      </c>
    </row>
    <row r="26" spans="2:21" x14ac:dyDescent="0.25">
      <c r="B26" s="2" t="s">
        <v>26</v>
      </c>
      <c r="C26" s="30"/>
      <c r="D26" s="30"/>
      <c r="E26" s="34">
        <f>SUM(E23:E25)</f>
        <v>16050</v>
      </c>
      <c r="F26" s="34"/>
      <c r="G26" s="34">
        <f>+G25+G24+G23</f>
        <v>0</v>
      </c>
      <c r="H26" s="34"/>
      <c r="I26" s="34">
        <f>SUM(I23:I25)</f>
        <v>0</v>
      </c>
      <c r="J26" s="34">
        <f>SUM(J23:J25)</f>
        <v>0</v>
      </c>
      <c r="K26" s="34">
        <f t="shared" ref="K26:U26" si="9">SUM(K23:K25)</f>
        <v>16050</v>
      </c>
      <c r="L26" s="34">
        <f t="shared" si="9"/>
        <v>0</v>
      </c>
      <c r="M26" s="34">
        <f t="shared" si="9"/>
        <v>1629.8700000000001</v>
      </c>
      <c r="N26" s="34">
        <f t="shared" si="9"/>
        <v>1764.6000000000001</v>
      </c>
      <c r="O26" s="34">
        <f t="shared" si="9"/>
        <v>0</v>
      </c>
      <c r="P26" s="34">
        <f>SUM(P23:P25)</f>
        <v>1845.75</v>
      </c>
      <c r="Q26" s="34">
        <f t="shared" si="9"/>
        <v>3610.3500000000004</v>
      </c>
      <c r="R26" s="34">
        <f t="shared" si="9"/>
        <v>12439.650000000001</v>
      </c>
      <c r="S26" s="34">
        <f t="shared" si="9"/>
        <v>770.04</v>
      </c>
      <c r="T26" s="34">
        <f t="shared" si="9"/>
        <v>3210</v>
      </c>
      <c r="U26" s="34">
        <f t="shared" si="9"/>
        <v>3980.04</v>
      </c>
    </row>
    <row r="27" spans="2:21" hidden="1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21" x14ac:dyDescent="0.25">
      <c r="B28" s="2" t="s">
        <v>63</v>
      </c>
      <c r="C28" s="2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21" x14ac:dyDescent="0.25">
      <c r="B29" t="s">
        <v>122</v>
      </c>
      <c r="C29" t="s">
        <v>97</v>
      </c>
      <c r="D29" t="s">
        <v>80</v>
      </c>
      <c r="E29" s="15">
        <v>5350</v>
      </c>
      <c r="F29" s="29">
        <v>15</v>
      </c>
      <c r="G29" s="15"/>
      <c r="H29" s="15"/>
      <c r="I29" s="15"/>
      <c r="J29" s="15"/>
      <c r="K29" s="15">
        <f t="shared" ref="K29:K39" si="10">E29-I29</f>
        <v>5350</v>
      </c>
      <c r="L29" s="15">
        <v>0</v>
      </c>
      <c r="M29" s="15">
        <v>588.20000000000005</v>
      </c>
      <c r="N29" s="15">
        <f>M29-L29</f>
        <v>588.20000000000005</v>
      </c>
      <c r="O29" s="15">
        <v>0</v>
      </c>
      <c r="P29" s="20">
        <f>E29*0.115</f>
        <v>615.25</v>
      </c>
      <c r="Q29" s="15">
        <f t="shared" ref="Q29:Q39" si="11">SUM(N29:P29)+G29</f>
        <v>1203.45</v>
      </c>
      <c r="R29" s="80">
        <f t="shared" ref="R29:R39" si="12">K29-Q29</f>
        <v>4146.55</v>
      </c>
      <c r="S29" s="11">
        <v>256.68</v>
      </c>
      <c r="T29" s="11">
        <v>1070</v>
      </c>
      <c r="U29" s="35">
        <f t="shared" ref="U29:U39" si="13">S29+T29</f>
        <v>1326.68</v>
      </c>
    </row>
    <row r="30" spans="2:21" x14ac:dyDescent="0.25">
      <c r="B30" t="s">
        <v>123</v>
      </c>
      <c r="C30" t="s">
        <v>100</v>
      </c>
      <c r="D30" t="s">
        <v>80</v>
      </c>
      <c r="E30" s="15">
        <v>5350</v>
      </c>
      <c r="F30" s="29">
        <v>15</v>
      </c>
      <c r="G30" s="15"/>
      <c r="H30" s="15"/>
      <c r="I30" s="77"/>
      <c r="J30" s="20"/>
      <c r="K30" s="20">
        <f t="shared" si="10"/>
        <v>5350</v>
      </c>
      <c r="L30" s="20">
        <v>0</v>
      </c>
      <c r="M30" s="20">
        <v>587.48</v>
      </c>
      <c r="N30" s="20">
        <v>588.20000000000005</v>
      </c>
      <c r="O30" s="15">
        <v>0</v>
      </c>
      <c r="P30" s="20">
        <f t="shared" ref="P30:P39" si="14">E30*0.115</f>
        <v>615.25</v>
      </c>
      <c r="Q30" s="15">
        <f t="shared" si="11"/>
        <v>1203.45</v>
      </c>
      <c r="R30" s="80">
        <f t="shared" si="12"/>
        <v>4146.55</v>
      </c>
      <c r="S30" s="11">
        <v>256.68</v>
      </c>
      <c r="T30" s="11">
        <v>1070</v>
      </c>
      <c r="U30" s="35">
        <f t="shared" si="13"/>
        <v>1326.68</v>
      </c>
    </row>
    <row r="31" spans="2:21" x14ac:dyDescent="0.25">
      <c r="B31" t="s">
        <v>124</v>
      </c>
      <c r="C31" t="s">
        <v>96</v>
      </c>
      <c r="D31" t="s">
        <v>78</v>
      </c>
      <c r="E31" s="15">
        <v>5350</v>
      </c>
      <c r="F31" s="29">
        <v>15</v>
      </c>
      <c r="G31" s="15"/>
      <c r="H31" s="15"/>
      <c r="I31" s="20"/>
      <c r="J31" s="20"/>
      <c r="K31" s="20">
        <f t="shared" si="10"/>
        <v>5350</v>
      </c>
      <c r="L31" s="20">
        <v>0</v>
      </c>
      <c r="M31" s="20">
        <v>588.20000000000005</v>
      </c>
      <c r="N31" s="20">
        <f t="shared" ref="N31:N39" si="15">M31-L31</f>
        <v>588.20000000000005</v>
      </c>
      <c r="O31" s="15">
        <v>0</v>
      </c>
      <c r="P31" s="20">
        <f t="shared" si="14"/>
        <v>615.25</v>
      </c>
      <c r="Q31" s="15">
        <f t="shared" si="11"/>
        <v>1203.45</v>
      </c>
      <c r="R31" s="80">
        <f t="shared" si="12"/>
        <v>4146.55</v>
      </c>
      <c r="S31" s="11">
        <v>256.68</v>
      </c>
      <c r="T31" s="11">
        <v>1070</v>
      </c>
      <c r="U31" s="35">
        <f t="shared" si="13"/>
        <v>1326.68</v>
      </c>
    </row>
    <row r="32" spans="2:21" x14ac:dyDescent="0.25">
      <c r="B32" t="s">
        <v>125</v>
      </c>
      <c r="C32" t="s">
        <v>104</v>
      </c>
      <c r="D32" t="s">
        <v>78</v>
      </c>
      <c r="E32" s="15">
        <v>5350</v>
      </c>
      <c r="F32" s="29">
        <v>15</v>
      </c>
      <c r="G32" s="15"/>
      <c r="H32" s="15"/>
      <c r="I32" s="72">
        <v>1.7</v>
      </c>
      <c r="J32" s="20"/>
      <c r="K32" s="20">
        <f t="shared" si="10"/>
        <v>5348.3</v>
      </c>
      <c r="L32" s="20">
        <v>0</v>
      </c>
      <c r="M32" s="20">
        <v>588.20000000000005</v>
      </c>
      <c r="N32" s="20">
        <f t="shared" si="15"/>
        <v>588.20000000000005</v>
      </c>
      <c r="O32" s="15">
        <v>0</v>
      </c>
      <c r="P32" s="20">
        <f t="shared" si="14"/>
        <v>615.25</v>
      </c>
      <c r="Q32" s="15">
        <f t="shared" si="11"/>
        <v>1203.45</v>
      </c>
      <c r="R32" s="80">
        <f t="shared" si="12"/>
        <v>4144.8500000000004</v>
      </c>
      <c r="S32" s="11">
        <v>256.68</v>
      </c>
      <c r="T32" s="11">
        <v>1070</v>
      </c>
      <c r="U32" s="35">
        <f t="shared" si="13"/>
        <v>1326.68</v>
      </c>
    </row>
    <row r="33" spans="2:21" x14ac:dyDescent="0.25">
      <c r="B33" t="s">
        <v>126</v>
      </c>
      <c r="C33" t="s">
        <v>94</v>
      </c>
      <c r="D33" t="s">
        <v>81</v>
      </c>
      <c r="E33" s="15">
        <v>5350</v>
      </c>
      <c r="F33" s="29">
        <v>15</v>
      </c>
      <c r="G33" s="73">
        <v>595</v>
      </c>
      <c r="H33" s="15"/>
      <c r="I33" s="72">
        <v>8.5</v>
      </c>
      <c r="J33" s="20"/>
      <c r="K33" s="20">
        <f>E33-I33</f>
        <v>5341.5</v>
      </c>
      <c r="L33" s="20">
        <v>0</v>
      </c>
      <c r="M33" s="20">
        <v>517.23</v>
      </c>
      <c r="N33" s="20">
        <v>588.02</v>
      </c>
      <c r="O33" s="15">
        <v>0</v>
      </c>
      <c r="P33" s="20">
        <f t="shared" si="14"/>
        <v>615.25</v>
      </c>
      <c r="Q33" s="15">
        <f t="shared" si="11"/>
        <v>1798.27</v>
      </c>
      <c r="R33" s="80">
        <f>K33-Q33</f>
        <v>3543.23</v>
      </c>
      <c r="S33" s="11">
        <v>256.68</v>
      </c>
      <c r="T33" s="11">
        <v>1070</v>
      </c>
      <c r="U33" s="35">
        <f t="shared" si="13"/>
        <v>1326.68</v>
      </c>
    </row>
    <row r="34" spans="2:21" x14ac:dyDescent="0.25">
      <c r="B34" t="s">
        <v>127</v>
      </c>
      <c r="C34" t="s">
        <v>98</v>
      </c>
      <c r="D34" t="s">
        <v>81</v>
      </c>
      <c r="E34" s="15">
        <v>5350</v>
      </c>
      <c r="F34" s="29">
        <v>15</v>
      </c>
      <c r="G34" s="15"/>
      <c r="H34" s="20"/>
      <c r="I34" s="77"/>
      <c r="J34" s="20"/>
      <c r="K34" s="20">
        <f>E34-I34</f>
        <v>5350</v>
      </c>
      <c r="L34" s="20">
        <v>0</v>
      </c>
      <c r="M34" s="20">
        <v>588.20000000000005</v>
      </c>
      <c r="N34" s="20">
        <f t="shared" si="15"/>
        <v>588.20000000000005</v>
      </c>
      <c r="O34" s="15">
        <v>0</v>
      </c>
      <c r="P34" s="20">
        <f>E34*0.115</f>
        <v>615.25</v>
      </c>
      <c r="Q34" s="15">
        <f>SUM(N34:P34)+G34</f>
        <v>1203.45</v>
      </c>
      <c r="R34" s="80">
        <f>K34-Q34</f>
        <v>4146.55</v>
      </c>
      <c r="S34" s="11">
        <v>256.68</v>
      </c>
      <c r="T34" s="11">
        <v>1070</v>
      </c>
      <c r="U34" s="35">
        <f t="shared" si="13"/>
        <v>1326.68</v>
      </c>
    </row>
    <row r="35" spans="2:21" x14ac:dyDescent="0.25">
      <c r="B35" t="s">
        <v>128</v>
      </c>
      <c r="C35" t="s">
        <v>101</v>
      </c>
      <c r="D35" t="s">
        <v>81</v>
      </c>
      <c r="E35" s="15">
        <v>5350</v>
      </c>
      <c r="F35" s="29">
        <v>15</v>
      </c>
      <c r="G35" s="15"/>
      <c r="H35" s="15"/>
      <c r="I35" s="71"/>
      <c r="J35" s="20"/>
      <c r="K35" s="20">
        <f>E35-I35</f>
        <v>5350</v>
      </c>
      <c r="L35" s="20">
        <v>0</v>
      </c>
      <c r="M35" s="15">
        <v>588.20000000000005</v>
      </c>
      <c r="N35" s="15">
        <f>M35-L35</f>
        <v>588.20000000000005</v>
      </c>
      <c r="O35" s="15">
        <v>0</v>
      </c>
      <c r="P35" s="20">
        <f t="shared" si="14"/>
        <v>615.25</v>
      </c>
      <c r="Q35" s="15">
        <f>SUM(N35:P35)+G35</f>
        <v>1203.45</v>
      </c>
      <c r="R35" s="80">
        <f>K35-Q35</f>
        <v>4146.55</v>
      </c>
      <c r="S35" s="11">
        <v>256.68</v>
      </c>
      <c r="T35" s="11">
        <v>1070</v>
      </c>
      <c r="U35" s="35">
        <f t="shared" si="13"/>
        <v>1326.68</v>
      </c>
    </row>
    <row r="36" spans="2:21" x14ac:dyDescent="0.25">
      <c r="B36" t="s">
        <v>129</v>
      </c>
      <c r="C36" t="s">
        <v>95</v>
      </c>
      <c r="D36" t="s">
        <v>82</v>
      </c>
      <c r="E36" s="15">
        <v>5350</v>
      </c>
      <c r="F36" s="29">
        <v>15</v>
      </c>
      <c r="G36" s="73">
        <v>1190</v>
      </c>
      <c r="H36" s="15"/>
      <c r="I36" s="15"/>
      <c r="J36" s="15"/>
      <c r="K36" s="15">
        <f t="shared" si="10"/>
        <v>5350</v>
      </c>
      <c r="L36" s="15">
        <v>0</v>
      </c>
      <c r="M36" s="15">
        <v>588.20000000000005</v>
      </c>
      <c r="N36" s="15">
        <f t="shared" si="15"/>
        <v>588.20000000000005</v>
      </c>
      <c r="O36" s="15">
        <v>0</v>
      </c>
      <c r="P36" s="20">
        <f t="shared" si="14"/>
        <v>615.25</v>
      </c>
      <c r="Q36" s="15">
        <f t="shared" si="11"/>
        <v>2393.4499999999998</v>
      </c>
      <c r="R36" s="80">
        <f t="shared" si="12"/>
        <v>2956.55</v>
      </c>
      <c r="S36" s="11">
        <v>256.68</v>
      </c>
      <c r="T36" s="11">
        <v>1070</v>
      </c>
      <c r="U36" s="35">
        <f t="shared" si="13"/>
        <v>1326.68</v>
      </c>
    </row>
    <row r="37" spans="2:21" x14ac:dyDescent="0.25">
      <c r="B37" t="s">
        <v>130</v>
      </c>
      <c r="C37" t="s">
        <v>102</v>
      </c>
      <c r="D37" t="s">
        <v>82</v>
      </c>
      <c r="E37" s="15">
        <v>5350</v>
      </c>
      <c r="F37" s="29">
        <v>15</v>
      </c>
      <c r="G37" s="73">
        <v>927.62</v>
      </c>
      <c r="H37" s="15"/>
      <c r="I37" s="15"/>
      <c r="J37" s="15"/>
      <c r="K37" s="15">
        <f t="shared" si="10"/>
        <v>5350</v>
      </c>
      <c r="L37" s="15">
        <v>0</v>
      </c>
      <c r="M37" s="15">
        <v>586.03</v>
      </c>
      <c r="N37" s="15">
        <v>588.20000000000005</v>
      </c>
      <c r="O37" s="15">
        <v>0</v>
      </c>
      <c r="P37" s="20">
        <f t="shared" si="14"/>
        <v>615.25</v>
      </c>
      <c r="Q37" s="15">
        <f>SUM(N37:P37)+G37</f>
        <v>2131.0700000000002</v>
      </c>
      <c r="R37" s="80">
        <f t="shared" si="12"/>
        <v>3218.93</v>
      </c>
      <c r="S37" s="11">
        <v>256.68</v>
      </c>
      <c r="T37" s="11">
        <v>1070</v>
      </c>
      <c r="U37" s="35">
        <f t="shared" si="13"/>
        <v>1326.68</v>
      </c>
    </row>
    <row r="38" spans="2:21" x14ac:dyDescent="0.25">
      <c r="B38" t="s">
        <v>131</v>
      </c>
      <c r="C38" t="s">
        <v>85</v>
      </c>
      <c r="D38" t="s">
        <v>83</v>
      </c>
      <c r="E38" s="15">
        <v>5350</v>
      </c>
      <c r="F38" s="29">
        <v>15</v>
      </c>
      <c r="G38" s="73">
        <v>1784</v>
      </c>
      <c r="H38" s="15"/>
      <c r="I38" s="15"/>
      <c r="J38" s="15"/>
      <c r="K38" s="15">
        <f t="shared" si="10"/>
        <v>5350</v>
      </c>
      <c r="L38" s="15">
        <v>0</v>
      </c>
      <c r="M38" s="15">
        <v>588.20000000000005</v>
      </c>
      <c r="N38" s="15">
        <f t="shared" si="15"/>
        <v>588.20000000000005</v>
      </c>
      <c r="O38" s="15">
        <v>0</v>
      </c>
      <c r="P38" s="20">
        <f t="shared" si="14"/>
        <v>615.25</v>
      </c>
      <c r="Q38" s="15">
        <f t="shared" si="11"/>
        <v>2987.45</v>
      </c>
      <c r="R38" s="80">
        <f t="shared" si="12"/>
        <v>2362.5500000000002</v>
      </c>
      <c r="S38" s="11">
        <v>256.68</v>
      </c>
      <c r="T38" s="11">
        <v>1070</v>
      </c>
      <c r="U38" s="35">
        <f t="shared" si="13"/>
        <v>1326.68</v>
      </c>
    </row>
    <row r="39" spans="2:21" x14ac:dyDescent="0.25">
      <c r="B39" t="s">
        <v>132</v>
      </c>
      <c r="C39" t="s">
        <v>103</v>
      </c>
      <c r="D39" t="s">
        <v>83</v>
      </c>
      <c r="E39" s="15">
        <v>5350</v>
      </c>
      <c r="F39" s="29">
        <v>15</v>
      </c>
      <c r="G39" s="73">
        <v>1900</v>
      </c>
      <c r="H39" s="15"/>
      <c r="I39" s="15"/>
      <c r="J39" s="15"/>
      <c r="K39" s="15">
        <f t="shared" si="10"/>
        <v>5350</v>
      </c>
      <c r="L39" s="15">
        <v>0</v>
      </c>
      <c r="M39" s="15">
        <v>588.20000000000005</v>
      </c>
      <c r="N39" s="15">
        <f t="shared" si="15"/>
        <v>588.20000000000005</v>
      </c>
      <c r="O39" s="15">
        <v>0</v>
      </c>
      <c r="P39" s="20">
        <f t="shared" si="14"/>
        <v>615.25</v>
      </c>
      <c r="Q39" s="15">
        <f t="shared" si="11"/>
        <v>3103.45</v>
      </c>
      <c r="R39" s="80">
        <f t="shared" si="12"/>
        <v>2246.5500000000002</v>
      </c>
      <c r="S39" s="11">
        <v>256.68</v>
      </c>
      <c r="T39" s="11">
        <v>1070</v>
      </c>
      <c r="U39" s="35">
        <f t="shared" si="13"/>
        <v>1326.68</v>
      </c>
    </row>
    <row r="40" spans="2:21" x14ac:dyDescent="0.25">
      <c r="B40" s="2" t="s">
        <v>26</v>
      </c>
      <c r="C40" s="30"/>
      <c r="D40" s="30"/>
      <c r="E40" s="34">
        <f>SUM(E29:E39)</f>
        <v>58850</v>
      </c>
      <c r="F40" s="34"/>
      <c r="G40" s="34">
        <f>+G39+G38+G37+G36+G35+G34+G33</f>
        <v>6396.62</v>
      </c>
      <c r="H40" s="34"/>
      <c r="I40" s="34">
        <f>SUM(I29:I39)</f>
        <v>10.199999999999999</v>
      </c>
      <c r="J40" s="34">
        <f>SUM(J29:J39)</f>
        <v>0</v>
      </c>
      <c r="K40" s="34">
        <f>SUM(K29:K39)</f>
        <v>58839.8</v>
      </c>
      <c r="L40" s="34">
        <f t="shared" ref="L40:U40" si="16">SUM(L29:L39)</f>
        <v>0</v>
      </c>
      <c r="M40" s="34">
        <f t="shared" si="16"/>
        <v>6396.3399999999992</v>
      </c>
      <c r="N40" s="34">
        <f t="shared" si="16"/>
        <v>6470.0199999999995</v>
      </c>
      <c r="O40" s="34">
        <f t="shared" si="16"/>
        <v>0</v>
      </c>
      <c r="P40" s="34">
        <f>SUM(P29:P39)</f>
        <v>6767.75</v>
      </c>
      <c r="Q40" s="34">
        <f t="shared" si="16"/>
        <v>19634.39</v>
      </c>
      <c r="R40" s="34">
        <f t="shared" si="16"/>
        <v>39205.410000000003</v>
      </c>
      <c r="S40" s="34">
        <f t="shared" si="16"/>
        <v>2823.4799999999996</v>
      </c>
      <c r="T40" s="34">
        <f t="shared" si="16"/>
        <v>11770</v>
      </c>
      <c r="U40" s="34">
        <f t="shared" si="16"/>
        <v>14593.480000000001</v>
      </c>
    </row>
    <row r="41" spans="2:21" hidden="1" x14ac:dyDescent="0.2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21" x14ac:dyDescent="0.25">
      <c r="B42" s="2" t="s">
        <v>140</v>
      </c>
      <c r="C42" s="2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21" x14ac:dyDescent="0.25">
      <c r="B43" t="s">
        <v>133</v>
      </c>
      <c r="C43" t="s">
        <v>99</v>
      </c>
      <c r="D43" t="s">
        <v>80</v>
      </c>
      <c r="E43" s="15">
        <v>5350</v>
      </c>
      <c r="F43" s="29">
        <v>15</v>
      </c>
      <c r="G43" s="15"/>
      <c r="H43" s="15"/>
      <c r="I43" s="77"/>
      <c r="J43" s="20"/>
      <c r="K43" s="20">
        <f>E43-I43</f>
        <v>5350</v>
      </c>
      <c r="L43" s="20">
        <v>0</v>
      </c>
      <c r="M43" s="20">
        <v>586.21</v>
      </c>
      <c r="N43" s="20">
        <v>588.20000000000005</v>
      </c>
      <c r="O43" s="15">
        <v>0</v>
      </c>
      <c r="P43" s="15">
        <f t="shared" ref="P43" si="17">E43*0.115</f>
        <v>615.25</v>
      </c>
      <c r="Q43" s="15">
        <f>SUM(N43:P43)+G43</f>
        <v>1203.45</v>
      </c>
      <c r="R43" s="80">
        <f>K43-Q43</f>
        <v>4146.55</v>
      </c>
      <c r="S43" s="11">
        <v>256.68</v>
      </c>
      <c r="T43" s="11">
        <v>1070</v>
      </c>
      <c r="U43" s="35">
        <f t="shared" ref="U43:U44" si="18">S43+T43</f>
        <v>1326.68</v>
      </c>
    </row>
    <row r="44" spans="2:21" x14ac:dyDescent="0.25">
      <c r="B44" t="s">
        <v>152</v>
      </c>
      <c r="C44" t="s">
        <v>92</v>
      </c>
      <c r="D44" t="s">
        <v>80</v>
      </c>
      <c r="E44" s="15">
        <v>5350</v>
      </c>
      <c r="F44" s="29">
        <v>15</v>
      </c>
      <c r="G44" s="15"/>
      <c r="H44" s="15"/>
      <c r="I44" s="15"/>
      <c r="J44" s="15"/>
      <c r="K44" s="15">
        <f>E44-I44</f>
        <v>5350</v>
      </c>
      <c r="L44" s="15">
        <v>0</v>
      </c>
      <c r="M44" s="15">
        <v>588.20000000000005</v>
      </c>
      <c r="N44" s="15">
        <v>588.20000000000005</v>
      </c>
      <c r="O44" s="15">
        <v>0</v>
      </c>
      <c r="P44" s="15">
        <f>K44*0.115</f>
        <v>615.25</v>
      </c>
      <c r="Q44" s="15">
        <f>SUM(N44:P44)+G44</f>
        <v>1203.45</v>
      </c>
      <c r="R44" s="80">
        <f>K44-Q44</f>
        <v>4146.55</v>
      </c>
      <c r="S44" s="11">
        <v>256.68</v>
      </c>
      <c r="T44" s="11">
        <v>1070</v>
      </c>
      <c r="U44" s="35">
        <f t="shared" si="18"/>
        <v>1326.68</v>
      </c>
    </row>
    <row r="45" spans="2:21" x14ac:dyDescent="0.25">
      <c r="B45" s="2" t="s">
        <v>26</v>
      </c>
      <c r="C45" s="30"/>
      <c r="D45" s="30"/>
      <c r="E45" s="34">
        <f>E43+E44</f>
        <v>10700</v>
      </c>
      <c r="F45" s="34"/>
      <c r="G45" s="34">
        <f>+G44+G43</f>
        <v>0</v>
      </c>
      <c r="H45" s="34"/>
      <c r="I45" s="34">
        <f>I43+I44</f>
        <v>0</v>
      </c>
      <c r="J45" s="34">
        <f>J43+J44</f>
        <v>0</v>
      </c>
      <c r="K45" s="34">
        <f t="shared" ref="K45:U45" si="19">K43+K44</f>
        <v>10700</v>
      </c>
      <c r="L45" s="34">
        <f t="shared" si="19"/>
        <v>0</v>
      </c>
      <c r="M45" s="34">
        <f t="shared" si="19"/>
        <v>1174.4100000000001</v>
      </c>
      <c r="N45" s="34">
        <f t="shared" si="19"/>
        <v>1176.4000000000001</v>
      </c>
      <c r="O45" s="34">
        <f t="shared" si="19"/>
        <v>0</v>
      </c>
      <c r="P45" s="34">
        <f>P43+P44</f>
        <v>1230.5</v>
      </c>
      <c r="Q45" s="34">
        <f t="shared" si="19"/>
        <v>2406.9</v>
      </c>
      <c r="R45" s="34">
        <f t="shared" si="19"/>
        <v>8293.1</v>
      </c>
      <c r="S45" s="34">
        <f t="shared" si="19"/>
        <v>513.36</v>
      </c>
      <c r="T45" s="34">
        <f t="shared" si="19"/>
        <v>2140</v>
      </c>
      <c r="U45" s="34">
        <f t="shared" si="19"/>
        <v>2653.36</v>
      </c>
    </row>
    <row r="46" spans="2:21" hidden="1" x14ac:dyDescent="0.25">
      <c r="B46" s="2"/>
      <c r="E46" s="15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8"/>
      <c r="T46" s="8"/>
      <c r="U46" s="8"/>
    </row>
    <row r="47" spans="2:21" x14ac:dyDescent="0.25">
      <c r="B47" s="2" t="s">
        <v>161</v>
      </c>
      <c r="C47" s="2" t="s">
        <v>162</v>
      </c>
      <c r="E47" s="15"/>
      <c r="F47" s="15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8"/>
      <c r="T47" s="8"/>
      <c r="U47" s="8"/>
    </row>
    <row r="48" spans="2:21" x14ac:dyDescent="0.25">
      <c r="B48" t="s">
        <v>163</v>
      </c>
      <c r="C48" s="11" t="s">
        <v>42</v>
      </c>
      <c r="D48" t="s">
        <v>2</v>
      </c>
      <c r="E48" s="15">
        <v>10000</v>
      </c>
      <c r="F48" s="29">
        <v>15</v>
      </c>
      <c r="G48" s="15"/>
      <c r="H48" s="15"/>
      <c r="I48" s="15"/>
      <c r="J48" s="15"/>
      <c r="K48" s="15">
        <f>E48-I48</f>
        <v>10000</v>
      </c>
      <c r="L48" s="15">
        <v>0</v>
      </c>
      <c r="M48" s="15">
        <v>1581.44</v>
      </c>
      <c r="N48" s="15">
        <f>M48-L48</f>
        <v>1581.44</v>
      </c>
      <c r="O48" s="15">
        <v>0</v>
      </c>
      <c r="P48" s="15">
        <f>E48*0.115</f>
        <v>1150</v>
      </c>
      <c r="Q48" s="15">
        <f>SUM(N48:P48)+G48</f>
        <v>2731.44</v>
      </c>
      <c r="R48" s="80">
        <f>K48-Q48</f>
        <v>7268.5599999999995</v>
      </c>
      <c r="S48" s="11">
        <v>285.52999999999997</v>
      </c>
      <c r="T48" s="11">
        <v>2000</v>
      </c>
      <c r="U48" s="35">
        <f>S48+T48</f>
        <v>2285.5299999999997</v>
      </c>
    </row>
    <row r="49" spans="2:21" x14ac:dyDescent="0.25">
      <c r="B49" s="2" t="s">
        <v>26</v>
      </c>
      <c r="E49" s="34">
        <f>E48</f>
        <v>10000</v>
      </c>
      <c r="F49" s="34"/>
      <c r="G49" s="34">
        <f>+G48</f>
        <v>0</v>
      </c>
      <c r="H49" s="34"/>
      <c r="I49" s="34">
        <f>I48</f>
        <v>0</v>
      </c>
      <c r="J49" s="34">
        <f>J48</f>
        <v>0</v>
      </c>
      <c r="K49" s="34">
        <f t="shared" ref="K49:U49" si="20">K48</f>
        <v>10000</v>
      </c>
      <c r="L49" s="34">
        <f t="shared" si="20"/>
        <v>0</v>
      </c>
      <c r="M49" s="34">
        <f t="shared" si="20"/>
        <v>1581.44</v>
      </c>
      <c r="N49" s="34">
        <f t="shared" si="20"/>
        <v>1581.44</v>
      </c>
      <c r="O49" s="34">
        <f t="shared" si="20"/>
        <v>0</v>
      </c>
      <c r="P49" s="34">
        <f>P48</f>
        <v>1150</v>
      </c>
      <c r="Q49" s="34">
        <f t="shared" si="20"/>
        <v>2731.44</v>
      </c>
      <c r="R49" s="34">
        <f t="shared" si="20"/>
        <v>7268.5599999999995</v>
      </c>
      <c r="S49" s="34">
        <f t="shared" si="20"/>
        <v>285.52999999999997</v>
      </c>
      <c r="T49" s="34">
        <f t="shared" si="20"/>
        <v>2000</v>
      </c>
      <c r="U49" s="34">
        <f t="shared" si="20"/>
        <v>2285.5299999999997</v>
      </c>
    </row>
    <row r="50" spans="2:21" ht="12" customHeight="1" x14ac:dyDescent="0.25">
      <c r="B50" s="2"/>
      <c r="E50" s="15"/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8"/>
      <c r="T50" s="8"/>
      <c r="U50" s="8"/>
    </row>
    <row r="51" spans="2:21" hidden="1" x14ac:dyDescent="0.25"/>
    <row r="52" spans="2:21" ht="18.75" x14ac:dyDescent="0.3">
      <c r="C52" s="53" t="s">
        <v>105</v>
      </c>
      <c r="E52" s="17">
        <f>E9+E20+E26+E40+E45+E49</f>
        <v>158954.95000000001</v>
      </c>
      <c r="F52" s="17"/>
      <c r="G52" s="17">
        <f>G9+G20+G26+G40+G45+G49</f>
        <v>16078.619999999999</v>
      </c>
      <c r="H52" s="17"/>
      <c r="I52" s="17">
        <f>I9+I20+I26+I40+I45+I49</f>
        <v>11.899999999999999</v>
      </c>
      <c r="J52" s="17">
        <f t="shared" ref="J52:U52" si="21">J9+J20+J26+J40+J45+J49</f>
        <v>0</v>
      </c>
      <c r="K52" s="17">
        <f>K9+K20+K26+K40+K45+K49</f>
        <v>158943.04999999999</v>
      </c>
      <c r="L52" s="17">
        <f t="shared" si="21"/>
        <v>274.08999999999997</v>
      </c>
      <c r="M52" s="17">
        <f t="shared" si="21"/>
        <v>19286.219999999998</v>
      </c>
      <c r="N52" s="17">
        <f t="shared" si="21"/>
        <v>19225.43</v>
      </c>
      <c r="O52" s="17">
        <f t="shared" si="21"/>
        <v>0</v>
      </c>
      <c r="P52" s="17">
        <f>P9+P20+P26+P40+P45+P49</f>
        <v>17664.56925</v>
      </c>
      <c r="Q52" s="17">
        <f t="shared" si="21"/>
        <v>52968.619250000003</v>
      </c>
      <c r="R52" s="54">
        <f>R9+R20+R26+R40+R45+R49</f>
        <v>105974.43075</v>
      </c>
      <c r="S52" s="17">
        <f>S9+S20+S26+S40+S45+S49</f>
        <v>7020.3799999999992</v>
      </c>
      <c r="T52" s="17">
        <f>T9+T20+T26+T40+T45+T49</f>
        <v>30720.989999999998</v>
      </c>
      <c r="U52" s="55">
        <f t="shared" si="21"/>
        <v>37741.370000000003</v>
      </c>
    </row>
    <row r="55" spans="2:21" ht="15.75" thickBot="1" x14ac:dyDescent="0.3">
      <c r="E55" s="89"/>
      <c r="F55" s="89"/>
      <c r="G55" s="78"/>
      <c r="H55" s="78"/>
      <c r="P55" s="90"/>
      <c r="Q55" s="90"/>
    </row>
    <row r="56" spans="2:21" x14ac:dyDescent="0.25">
      <c r="E56" s="91" t="s">
        <v>177</v>
      </c>
      <c r="F56" s="91"/>
      <c r="G56" s="79"/>
      <c r="H56" s="79"/>
      <c r="P56" s="26"/>
      <c r="Q56" s="26"/>
      <c r="R56" s="92" t="s">
        <v>157</v>
      </c>
      <c r="S56" s="92"/>
    </row>
    <row r="60" spans="2:21" x14ac:dyDescent="0.25">
      <c r="C60" t="s">
        <v>174</v>
      </c>
    </row>
  </sheetData>
  <mergeCells count="5">
    <mergeCell ref="B4:U4"/>
    <mergeCell ref="E55:F55"/>
    <mergeCell ref="P55:Q55"/>
    <mergeCell ref="E56:F56"/>
    <mergeCell ref="R56:S56"/>
  </mergeCells>
  <pageMargins left="0.51181102362204722" right="0.51181102362204722" top="0.15748031496062992" bottom="0.35433070866141736" header="0.31496062992125984" footer="0.31496062992125984"/>
  <pageSetup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61"/>
  <sheetViews>
    <sheetView workbookViewId="0">
      <pane xSplit="4" ySplit="3" topLeftCell="E4" activePane="bottomRight" state="frozen"/>
      <selection activeCell="G53" sqref="G53"/>
      <selection pane="topRight" activeCell="G53" sqref="G53"/>
      <selection pane="bottomLeft" activeCell="G53" sqref="G53"/>
      <selection pane="bottomRight" activeCell="N6" sqref="N6"/>
    </sheetView>
  </sheetViews>
  <sheetFormatPr baseColWidth="10" defaultRowHeight="15" x14ac:dyDescent="0.25"/>
  <cols>
    <col min="1" max="1" width="0" hidden="1" customWidth="1"/>
    <col min="3" max="3" width="33.42578125" customWidth="1"/>
    <col min="4" max="4" width="27" customWidth="1"/>
    <col min="5" max="5" width="17.42578125" customWidth="1"/>
    <col min="6" max="6" width="17.28515625" customWidth="1"/>
    <col min="8" max="8" width="16.28515625" customWidth="1"/>
    <col min="9" max="9" width="15.28515625" customWidth="1"/>
    <col min="12" max="12" width="16" customWidth="1"/>
    <col min="13" max="13" width="17.42578125" customWidth="1"/>
    <col min="14" max="14" width="20.140625" customWidth="1"/>
    <col min="15" max="15" width="16.5703125" customWidth="1"/>
    <col min="16" max="16" width="15.85546875" customWidth="1"/>
    <col min="17" max="17" width="19.28515625" customWidth="1"/>
  </cols>
  <sheetData>
    <row r="1" spans="1:17" ht="18.75" x14ac:dyDescent="0.25">
      <c r="C1" s="6" t="s">
        <v>110</v>
      </c>
    </row>
    <row r="2" spans="1:17" ht="15.75" thickBot="1" x14ac:dyDescent="0.3"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35.25" thickTop="1" thickBot="1" x14ac:dyDescent="0.3">
      <c r="B3" s="47" t="s">
        <v>9</v>
      </c>
      <c r="C3" s="48" t="s">
        <v>10</v>
      </c>
      <c r="D3" s="48" t="s">
        <v>0</v>
      </c>
      <c r="E3" s="48" t="s">
        <v>11</v>
      </c>
      <c r="F3" s="48" t="s">
        <v>12</v>
      </c>
      <c r="G3" s="48" t="s">
        <v>107</v>
      </c>
      <c r="H3" s="48" t="s">
        <v>13</v>
      </c>
      <c r="I3" s="48" t="s">
        <v>14</v>
      </c>
      <c r="J3" s="48" t="s">
        <v>15</v>
      </c>
      <c r="K3" s="48" t="s">
        <v>106</v>
      </c>
      <c r="L3" s="48" t="s">
        <v>16</v>
      </c>
      <c r="M3" s="48" t="s">
        <v>17</v>
      </c>
      <c r="N3" s="48" t="s">
        <v>72</v>
      </c>
      <c r="O3" s="48" t="s">
        <v>8</v>
      </c>
      <c r="P3" s="48" t="s">
        <v>18</v>
      </c>
      <c r="Q3" s="48" t="s">
        <v>73</v>
      </c>
    </row>
    <row r="4" spans="1:17" ht="15.75" thickTop="1" x14ac:dyDescent="0.25">
      <c r="B4" s="2" t="s">
        <v>19</v>
      </c>
      <c r="C4" s="2" t="s">
        <v>20</v>
      </c>
      <c r="D4" s="2"/>
    </row>
    <row r="5" spans="1:17" x14ac:dyDescent="0.25">
      <c r="B5" t="s">
        <v>21</v>
      </c>
      <c r="C5" t="s">
        <v>22</v>
      </c>
      <c r="D5" t="s">
        <v>25</v>
      </c>
      <c r="E5">
        <v>16954.95</v>
      </c>
      <c r="F5">
        <f>E5</f>
        <v>16954.95</v>
      </c>
      <c r="G5" s="15">
        <v>0</v>
      </c>
      <c r="H5">
        <v>3246.93</v>
      </c>
      <c r="I5">
        <v>188.65</v>
      </c>
      <c r="J5" s="15">
        <v>0</v>
      </c>
      <c r="K5" s="15">
        <v>0</v>
      </c>
      <c r="L5" s="15">
        <v>0</v>
      </c>
      <c r="M5">
        <f>SUM(G5:L5)</f>
        <v>3435.58</v>
      </c>
      <c r="N5" s="5">
        <f>F5-M5</f>
        <v>13519.37</v>
      </c>
      <c r="O5" s="10">
        <v>1223.77</v>
      </c>
      <c r="P5" s="10">
        <v>2797.56</v>
      </c>
      <c r="Q5" s="35">
        <f>SUM(O5:P5)</f>
        <v>4021.33</v>
      </c>
    </row>
    <row r="6" spans="1:17" x14ac:dyDescent="0.25">
      <c r="B6" t="s">
        <v>23</v>
      </c>
      <c r="C6" t="s">
        <v>24</v>
      </c>
      <c r="D6" t="s">
        <v>3</v>
      </c>
      <c r="E6">
        <v>4850</v>
      </c>
      <c r="F6">
        <f t="shared" ref="F6" si="0">E6</f>
        <v>4850</v>
      </c>
      <c r="G6" s="15">
        <v>0</v>
      </c>
      <c r="H6">
        <v>491.69</v>
      </c>
      <c r="I6">
        <v>44.835000000000001</v>
      </c>
      <c r="J6" s="15">
        <v>0</v>
      </c>
      <c r="K6" s="15">
        <v>0</v>
      </c>
      <c r="L6" s="15">
        <v>0</v>
      </c>
      <c r="M6">
        <f>SUM(G6:L6)</f>
        <v>536.52499999999998</v>
      </c>
      <c r="N6" s="12">
        <f t="shared" ref="N6:N18" si="1">F6-M6</f>
        <v>4313.4750000000004</v>
      </c>
      <c r="O6" s="10">
        <v>480.14</v>
      </c>
      <c r="P6" s="10">
        <v>800.25</v>
      </c>
      <c r="Q6" s="35">
        <f t="shared" ref="Q6:Q7" si="2">SUM(O6:P6)</f>
        <v>1280.3899999999999</v>
      </c>
    </row>
    <row r="7" spans="1:17" x14ac:dyDescent="0.25">
      <c r="B7" t="s">
        <v>41</v>
      </c>
      <c r="C7" t="s">
        <v>42</v>
      </c>
      <c r="D7" t="s">
        <v>2</v>
      </c>
      <c r="E7" s="3">
        <v>10000</v>
      </c>
      <c r="F7" s="3">
        <f t="shared" ref="F7:F14" si="3">E7</f>
        <v>10000</v>
      </c>
      <c r="G7" s="15">
        <v>0</v>
      </c>
      <c r="H7">
        <v>1581.44</v>
      </c>
      <c r="I7">
        <v>106.02</v>
      </c>
      <c r="J7" s="15">
        <v>0</v>
      </c>
      <c r="K7" s="15">
        <v>0</v>
      </c>
      <c r="L7" s="15">
        <v>0</v>
      </c>
      <c r="M7">
        <f>SUM(G7:L7)</f>
        <v>1687.46</v>
      </c>
      <c r="N7" s="5">
        <f t="shared" si="1"/>
        <v>8312.5400000000009</v>
      </c>
      <c r="O7" s="10">
        <v>796.52</v>
      </c>
      <c r="P7" s="10">
        <v>1650</v>
      </c>
      <c r="Q7" s="35">
        <f t="shared" si="2"/>
        <v>2446.52</v>
      </c>
    </row>
    <row r="8" spans="1:17" x14ac:dyDescent="0.25">
      <c r="A8" t="s">
        <v>135</v>
      </c>
      <c r="B8" s="7" t="s">
        <v>26</v>
      </c>
      <c r="E8" s="34">
        <f>SUM(E5:E7)</f>
        <v>31804.95</v>
      </c>
      <c r="F8" s="34">
        <f t="shared" ref="F8:Q8" si="4">SUM(F5:F7)</f>
        <v>31804.95</v>
      </c>
      <c r="G8" s="34">
        <f t="shared" si="4"/>
        <v>0</v>
      </c>
      <c r="H8" s="34">
        <f t="shared" si="4"/>
        <v>5320.0599999999995</v>
      </c>
      <c r="I8" s="34">
        <f t="shared" si="4"/>
        <v>339.505</v>
      </c>
      <c r="J8" s="34">
        <f t="shared" si="4"/>
        <v>0</v>
      </c>
      <c r="K8" s="34">
        <f t="shared" si="4"/>
        <v>0</v>
      </c>
      <c r="L8" s="34">
        <f t="shared" si="4"/>
        <v>0</v>
      </c>
      <c r="M8" s="34">
        <f t="shared" si="4"/>
        <v>5659.5650000000005</v>
      </c>
      <c r="N8" s="34">
        <f t="shared" si="4"/>
        <v>26145.385000000002</v>
      </c>
      <c r="O8" s="34">
        <f t="shared" si="4"/>
        <v>2500.4299999999998</v>
      </c>
      <c r="P8" s="34">
        <f t="shared" si="4"/>
        <v>5247.8099999999995</v>
      </c>
      <c r="Q8" s="34">
        <f t="shared" si="4"/>
        <v>7748.24</v>
      </c>
    </row>
    <row r="10" spans="1:17" x14ac:dyDescent="0.25">
      <c r="B10" s="2" t="s">
        <v>27</v>
      </c>
      <c r="C10" s="2" t="s">
        <v>28</v>
      </c>
    </row>
    <row r="11" spans="1:17" x14ac:dyDescent="0.25">
      <c r="B11" t="s">
        <v>29</v>
      </c>
      <c r="C11" t="s">
        <v>37</v>
      </c>
      <c r="D11" t="s">
        <v>1</v>
      </c>
      <c r="E11">
        <v>10000</v>
      </c>
      <c r="F11">
        <f t="shared" si="3"/>
        <v>10000</v>
      </c>
      <c r="G11" s="15">
        <v>0</v>
      </c>
      <c r="H11">
        <v>1581.44</v>
      </c>
      <c r="I11">
        <v>106.02</v>
      </c>
      <c r="J11" s="15">
        <v>0</v>
      </c>
      <c r="K11" s="15">
        <v>0</v>
      </c>
      <c r="L11" s="15">
        <v>0</v>
      </c>
      <c r="M11">
        <f>SUM(G11:L11)</f>
        <v>1687.46</v>
      </c>
      <c r="N11" s="5">
        <f t="shared" si="1"/>
        <v>8312.5400000000009</v>
      </c>
      <c r="O11" s="10">
        <v>796.52</v>
      </c>
      <c r="P11" s="10">
        <v>1650</v>
      </c>
      <c r="Q11" s="35">
        <f>O11+P11</f>
        <v>2446.52</v>
      </c>
    </row>
    <row r="12" spans="1:17" x14ac:dyDescent="0.25">
      <c r="B12" t="s">
        <v>30</v>
      </c>
      <c r="C12" t="s">
        <v>38</v>
      </c>
      <c r="D12" t="s">
        <v>74</v>
      </c>
      <c r="E12">
        <v>5350</v>
      </c>
      <c r="F12">
        <f t="shared" si="3"/>
        <v>5350</v>
      </c>
      <c r="G12" s="15">
        <v>0</v>
      </c>
      <c r="H12">
        <v>588.20000000000005</v>
      </c>
      <c r="I12">
        <v>50.77</v>
      </c>
      <c r="J12" s="15">
        <v>0</v>
      </c>
      <c r="K12" s="15">
        <v>0</v>
      </c>
      <c r="L12" s="15">
        <v>0</v>
      </c>
      <c r="M12">
        <f t="shared" ref="M12:M16" si="5">SUM(G12:L12)</f>
        <v>638.97</v>
      </c>
      <c r="N12" s="5">
        <f t="shared" si="1"/>
        <v>4711.03</v>
      </c>
      <c r="O12" s="10">
        <v>510.86</v>
      </c>
      <c r="P12" s="10">
        <v>882.75</v>
      </c>
      <c r="Q12" s="35">
        <f>O12+P12</f>
        <v>1393.6100000000001</v>
      </c>
    </row>
    <row r="13" spans="1:17" x14ac:dyDescent="0.25">
      <c r="B13" t="s">
        <v>31</v>
      </c>
      <c r="C13" t="s">
        <v>90</v>
      </c>
      <c r="D13" t="s">
        <v>75</v>
      </c>
      <c r="E13" s="15">
        <v>0</v>
      </c>
      <c r="F13" s="15">
        <f t="shared" si="3"/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f t="shared" si="5"/>
        <v>0</v>
      </c>
      <c r="N13" s="12">
        <f t="shared" si="1"/>
        <v>0</v>
      </c>
      <c r="O13" s="27">
        <v>0</v>
      </c>
      <c r="P13" s="27">
        <v>0</v>
      </c>
      <c r="Q13" s="35">
        <f>O13+P13</f>
        <v>0</v>
      </c>
    </row>
    <row r="14" spans="1:17" x14ac:dyDescent="0.25">
      <c r="B14" t="s">
        <v>32</v>
      </c>
      <c r="C14" t="s">
        <v>90</v>
      </c>
      <c r="D14" t="s">
        <v>77</v>
      </c>
      <c r="E14" s="15">
        <v>0</v>
      </c>
      <c r="F14" s="15">
        <f t="shared" si="3"/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f t="shared" si="5"/>
        <v>0</v>
      </c>
      <c r="N14" s="12">
        <f t="shared" si="1"/>
        <v>0</v>
      </c>
      <c r="O14" s="27">
        <v>0</v>
      </c>
      <c r="P14" s="27">
        <v>0</v>
      </c>
      <c r="Q14" s="35">
        <f>O14+P14</f>
        <v>0</v>
      </c>
    </row>
    <row r="15" spans="1:17" x14ac:dyDescent="0.25">
      <c r="B15" t="s">
        <v>33</v>
      </c>
      <c r="C15" t="s">
        <v>86</v>
      </c>
      <c r="D15" t="s">
        <v>5</v>
      </c>
      <c r="E15">
        <v>5000</v>
      </c>
      <c r="F15">
        <f>E15</f>
        <v>5000</v>
      </c>
      <c r="G15" s="15">
        <v>0</v>
      </c>
      <c r="H15">
        <v>518.57000000000005</v>
      </c>
      <c r="I15">
        <v>46.61</v>
      </c>
      <c r="J15" s="15">
        <v>0</v>
      </c>
      <c r="K15" s="15">
        <v>0</v>
      </c>
      <c r="L15" s="15">
        <v>0</v>
      </c>
      <c r="M15">
        <f t="shared" si="5"/>
        <v>565.18000000000006</v>
      </c>
      <c r="N15" s="5">
        <f t="shared" si="1"/>
        <v>4434.82</v>
      </c>
      <c r="O15" s="10">
        <v>489.36</v>
      </c>
      <c r="P15" s="10">
        <v>825</v>
      </c>
      <c r="Q15" s="35">
        <f>O15+P15</f>
        <v>1314.3600000000001</v>
      </c>
    </row>
    <row r="16" spans="1:17" x14ac:dyDescent="0.25">
      <c r="B16" t="s">
        <v>34</v>
      </c>
      <c r="C16" t="s">
        <v>87</v>
      </c>
      <c r="D16" t="s">
        <v>39</v>
      </c>
      <c r="E16">
        <v>4500</v>
      </c>
      <c r="F16">
        <f t="shared" ref="F16:F17" si="6">E16</f>
        <v>4500</v>
      </c>
      <c r="G16" s="15">
        <v>0</v>
      </c>
      <c r="H16">
        <v>428.97</v>
      </c>
      <c r="I16">
        <v>40.67</v>
      </c>
      <c r="J16" s="15">
        <v>0</v>
      </c>
      <c r="K16" s="15">
        <v>0</v>
      </c>
      <c r="L16" s="15">
        <v>0</v>
      </c>
      <c r="M16">
        <f t="shared" si="5"/>
        <v>469.64000000000004</v>
      </c>
      <c r="N16" s="5">
        <f t="shared" si="1"/>
        <v>4030.36</v>
      </c>
      <c r="O16" s="10">
        <v>458.64</v>
      </c>
      <c r="P16" s="10">
        <v>742.5</v>
      </c>
      <c r="Q16" s="35">
        <f t="shared" ref="Q16:Q18" si="7">O16+P16</f>
        <v>1201.1399999999999</v>
      </c>
    </row>
    <row r="17" spans="1:17" x14ac:dyDescent="0.25">
      <c r="B17" t="s">
        <v>35</v>
      </c>
      <c r="C17" t="s">
        <v>89</v>
      </c>
      <c r="D17" t="s">
        <v>4</v>
      </c>
      <c r="E17">
        <v>2700</v>
      </c>
      <c r="F17">
        <f t="shared" si="6"/>
        <v>2700</v>
      </c>
      <c r="G17" s="15">
        <v>0</v>
      </c>
      <c r="H17">
        <v>188.33</v>
      </c>
      <c r="I17">
        <v>19.29</v>
      </c>
      <c r="J17" s="15">
        <v>0</v>
      </c>
      <c r="K17" s="15">
        <v>0</v>
      </c>
      <c r="L17" s="15">
        <v>0</v>
      </c>
      <c r="M17">
        <f>SUM(G17:L17)</f>
        <v>207.62</v>
      </c>
      <c r="N17" s="5">
        <f t="shared" si="1"/>
        <v>2492.38</v>
      </c>
      <c r="O17" s="10">
        <v>348.07</v>
      </c>
      <c r="P17" s="10">
        <v>445.5</v>
      </c>
      <c r="Q17" s="35">
        <f t="shared" si="7"/>
        <v>793.56999999999994</v>
      </c>
    </row>
    <row r="18" spans="1:17" x14ac:dyDescent="0.25">
      <c r="B18" t="s">
        <v>36</v>
      </c>
      <c r="C18" t="s">
        <v>88</v>
      </c>
      <c r="D18" t="s">
        <v>40</v>
      </c>
      <c r="E18">
        <v>3150</v>
      </c>
      <c r="F18">
        <f>SUM(E18:E18)</f>
        <v>3150</v>
      </c>
      <c r="G18" s="15">
        <v>0</v>
      </c>
      <c r="H18">
        <v>237.29</v>
      </c>
      <c r="I18">
        <v>24.64</v>
      </c>
      <c r="J18" s="15">
        <v>0</v>
      </c>
      <c r="K18" s="15">
        <v>0</v>
      </c>
      <c r="L18" s="15">
        <v>0</v>
      </c>
      <c r="M18">
        <f>SUM(G18:L18)</f>
        <v>261.93</v>
      </c>
      <c r="N18" s="5">
        <f t="shared" si="1"/>
        <v>2888.07</v>
      </c>
      <c r="O18" s="10">
        <v>375.71</v>
      </c>
      <c r="P18" s="10">
        <v>519.75</v>
      </c>
      <c r="Q18" s="35">
        <f t="shared" si="7"/>
        <v>895.46</v>
      </c>
    </row>
    <row r="19" spans="1:17" x14ac:dyDescent="0.25">
      <c r="A19" t="s">
        <v>136</v>
      </c>
      <c r="B19" s="2" t="s">
        <v>26</v>
      </c>
      <c r="E19" s="34">
        <f>SUM(E11:E18)</f>
        <v>30700</v>
      </c>
      <c r="F19" s="34">
        <f>SUM(F11:F18)</f>
        <v>30700</v>
      </c>
      <c r="G19" s="34">
        <f t="shared" ref="G19:Q19" si="8">SUM(G11:G18)</f>
        <v>0</v>
      </c>
      <c r="H19" s="34">
        <f t="shared" si="8"/>
        <v>3542.8</v>
      </c>
      <c r="I19" s="34">
        <f t="shared" si="8"/>
        <v>288</v>
      </c>
      <c r="J19" s="34">
        <f t="shared" si="8"/>
        <v>0</v>
      </c>
      <c r="K19" s="34">
        <f t="shared" si="8"/>
        <v>0</v>
      </c>
      <c r="L19" s="34">
        <f t="shared" si="8"/>
        <v>0</v>
      </c>
      <c r="M19" s="34">
        <f t="shared" si="8"/>
        <v>3830.8</v>
      </c>
      <c r="N19" s="34">
        <f t="shared" si="8"/>
        <v>26869.200000000001</v>
      </c>
      <c r="O19" s="34">
        <f t="shared" si="8"/>
        <v>2979.1600000000003</v>
      </c>
      <c r="P19" s="34">
        <f t="shared" si="8"/>
        <v>5065.5</v>
      </c>
      <c r="Q19" s="34">
        <f t="shared" si="8"/>
        <v>8044.6599999999989</v>
      </c>
    </row>
    <row r="20" spans="1:17" x14ac:dyDescent="0.25">
      <c r="B20" s="2"/>
    </row>
    <row r="21" spans="1:17" x14ac:dyDescent="0.25">
      <c r="B21" s="2" t="s">
        <v>43</v>
      </c>
      <c r="C21" s="2" t="s">
        <v>44</v>
      </c>
    </row>
    <row r="22" spans="1:17" x14ac:dyDescent="0.25">
      <c r="B22" t="s">
        <v>45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ref="M22" si="9">SUM(G22:L22)</f>
        <v>0</v>
      </c>
      <c r="N22" s="12">
        <v>0</v>
      </c>
      <c r="O22" s="27">
        <v>0</v>
      </c>
      <c r="P22" s="27">
        <v>0</v>
      </c>
      <c r="Q22" s="35">
        <v>0</v>
      </c>
    </row>
    <row r="23" spans="1:17" x14ac:dyDescent="0.25">
      <c r="B23" t="s">
        <v>46</v>
      </c>
      <c r="C23" t="s">
        <v>91</v>
      </c>
      <c r="D23" t="s">
        <v>76</v>
      </c>
      <c r="E23">
        <v>5350</v>
      </c>
      <c r="F23">
        <f>E23</f>
        <v>5350</v>
      </c>
      <c r="G23" s="15">
        <v>0</v>
      </c>
      <c r="H23">
        <v>588.20000000000005</v>
      </c>
      <c r="I23">
        <v>50.77</v>
      </c>
      <c r="J23" s="15">
        <v>0</v>
      </c>
      <c r="K23" s="15">
        <v>0</v>
      </c>
      <c r="L23" s="15">
        <v>0</v>
      </c>
      <c r="M23">
        <f>SUM(G23:L23)</f>
        <v>638.97</v>
      </c>
      <c r="N23" s="5">
        <f>F23-M23</f>
        <v>4711.03</v>
      </c>
      <c r="O23" s="10">
        <v>510.86</v>
      </c>
      <c r="P23" s="10">
        <v>882.75</v>
      </c>
      <c r="Q23" s="35">
        <f>O23+P23</f>
        <v>1393.6100000000001</v>
      </c>
    </row>
    <row r="24" spans="1:17" x14ac:dyDescent="0.25">
      <c r="A24" t="s">
        <v>134</v>
      </c>
      <c r="B24" s="2" t="s">
        <v>26</v>
      </c>
      <c r="E24" s="34">
        <f>SUM(E22:E23)</f>
        <v>5350</v>
      </c>
      <c r="F24" s="34">
        <f t="shared" ref="F24:Q24" si="10">SUM(F22:F23)</f>
        <v>5350</v>
      </c>
      <c r="G24" s="34">
        <f t="shared" si="10"/>
        <v>0</v>
      </c>
      <c r="H24" s="34">
        <f t="shared" si="10"/>
        <v>588.20000000000005</v>
      </c>
      <c r="I24" s="34">
        <f t="shared" si="10"/>
        <v>50.77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638.97</v>
      </c>
      <c r="N24" s="34">
        <f t="shared" si="10"/>
        <v>4711.03</v>
      </c>
      <c r="O24" s="34">
        <f t="shared" si="10"/>
        <v>510.86</v>
      </c>
      <c r="P24" s="34">
        <f t="shared" si="10"/>
        <v>882.75</v>
      </c>
      <c r="Q24" s="34">
        <f t="shared" si="10"/>
        <v>1393.6100000000001</v>
      </c>
    </row>
    <row r="26" spans="1:17" x14ac:dyDescent="0.25">
      <c r="B26" s="2" t="s">
        <v>43</v>
      </c>
      <c r="C26" s="2" t="s">
        <v>47</v>
      </c>
    </row>
    <row r="27" spans="1:17" x14ac:dyDescent="0.25">
      <c r="B27" t="s">
        <v>48</v>
      </c>
      <c r="C27" t="s">
        <v>93</v>
      </c>
      <c r="D27" t="s">
        <v>78</v>
      </c>
      <c r="E27">
        <v>5350</v>
      </c>
      <c r="F27">
        <f>E27</f>
        <v>5350</v>
      </c>
      <c r="G27" s="15">
        <v>0</v>
      </c>
      <c r="H27">
        <v>588.20000000000005</v>
      </c>
      <c r="I27">
        <v>50.77</v>
      </c>
      <c r="J27" s="15">
        <v>0</v>
      </c>
      <c r="K27" s="15">
        <v>0</v>
      </c>
      <c r="L27" s="15">
        <v>0</v>
      </c>
      <c r="M27">
        <f>SUM(G27:L27)</f>
        <v>638.97</v>
      </c>
      <c r="N27" s="5">
        <f>F27-M27</f>
        <v>4711.03</v>
      </c>
      <c r="O27" s="10">
        <v>510.86</v>
      </c>
      <c r="P27" s="10">
        <v>882.75</v>
      </c>
      <c r="Q27" s="35">
        <f>O27+P27</f>
        <v>1393.6100000000001</v>
      </c>
    </row>
    <row r="28" spans="1:17" x14ac:dyDescent="0.25">
      <c r="B28" t="s">
        <v>49</v>
      </c>
      <c r="C28" t="s">
        <v>90</v>
      </c>
      <c r="D28" t="s">
        <v>79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>SUM(G28:L28)</f>
        <v>0</v>
      </c>
      <c r="N28" s="12">
        <v>0</v>
      </c>
      <c r="O28" s="27">
        <v>0</v>
      </c>
      <c r="P28" s="27">
        <v>0</v>
      </c>
      <c r="Q28" s="38">
        <v>0</v>
      </c>
    </row>
    <row r="29" spans="1:17" x14ac:dyDescent="0.25">
      <c r="A29" t="s">
        <v>137</v>
      </c>
      <c r="B29" s="2" t="s">
        <v>26</v>
      </c>
      <c r="E29" s="34">
        <f>SUM(E27:E28)</f>
        <v>5350</v>
      </c>
      <c r="F29" s="34">
        <f t="shared" ref="F29:Q29" si="11">SUM(F27:F28)</f>
        <v>5350</v>
      </c>
      <c r="G29" s="34">
        <f t="shared" si="11"/>
        <v>0</v>
      </c>
      <c r="H29" s="34">
        <f t="shared" si="11"/>
        <v>588.20000000000005</v>
      </c>
      <c r="I29" s="34">
        <f t="shared" si="11"/>
        <v>50.77</v>
      </c>
      <c r="J29" s="34">
        <f t="shared" si="11"/>
        <v>0</v>
      </c>
      <c r="K29" s="34">
        <f t="shared" si="11"/>
        <v>0</v>
      </c>
      <c r="L29" s="34">
        <f t="shared" si="11"/>
        <v>0</v>
      </c>
      <c r="M29" s="34">
        <f t="shared" si="11"/>
        <v>638.97</v>
      </c>
      <c r="N29" s="34">
        <f t="shared" si="11"/>
        <v>4711.03</v>
      </c>
      <c r="O29" s="34">
        <f t="shared" si="11"/>
        <v>510.86</v>
      </c>
      <c r="P29" s="34">
        <f t="shared" si="11"/>
        <v>882.75</v>
      </c>
      <c r="Q29" s="34">
        <f t="shared" si="11"/>
        <v>1393.6100000000001</v>
      </c>
    </row>
    <row r="31" spans="1:17" x14ac:dyDescent="0.25">
      <c r="B31" s="2" t="s">
        <v>50</v>
      </c>
      <c r="C31" s="2" t="s">
        <v>51</v>
      </c>
    </row>
    <row r="32" spans="1:17" x14ac:dyDescent="0.25">
      <c r="B32" t="s">
        <v>52</v>
      </c>
      <c r="C32" t="s">
        <v>97</v>
      </c>
      <c r="D32" t="s">
        <v>80</v>
      </c>
      <c r="E32">
        <v>5350</v>
      </c>
      <c r="F32">
        <f t="shared" ref="F32:F42" si="12">E32</f>
        <v>5350</v>
      </c>
      <c r="G32" s="15">
        <v>0</v>
      </c>
      <c r="H32">
        <v>588.20000000000005</v>
      </c>
      <c r="I32">
        <v>50.77</v>
      </c>
      <c r="J32" s="15">
        <v>0</v>
      </c>
      <c r="K32" s="15">
        <v>0</v>
      </c>
      <c r="L32" s="15">
        <v>0</v>
      </c>
      <c r="M32">
        <f>SUM(G32:L32)</f>
        <v>638.97</v>
      </c>
      <c r="N32" s="5">
        <f t="shared" ref="N32:N42" si="13">F32-M32</f>
        <v>4711.03</v>
      </c>
      <c r="O32" s="10">
        <v>510.86</v>
      </c>
      <c r="P32" s="10">
        <v>882.75</v>
      </c>
      <c r="Q32" s="35">
        <f t="shared" ref="Q32:Q42" si="14">O32+P32</f>
        <v>1393.6100000000001</v>
      </c>
    </row>
    <row r="33" spans="1:17" x14ac:dyDescent="0.25">
      <c r="B33" t="s">
        <v>53</v>
      </c>
      <c r="C33" t="s">
        <v>100</v>
      </c>
      <c r="D33" t="s">
        <v>80</v>
      </c>
      <c r="E33">
        <v>5350</v>
      </c>
      <c r="F33">
        <f t="shared" si="12"/>
        <v>5350</v>
      </c>
      <c r="G33" s="15">
        <v>0</v>
      </c>
      <c r="H33">
        <v>588.20000000000005</v>
      </c>
      <c r="I33">
        <v>50.77</v>
      </c>
      <c r="J33" s="15">
        <v>0</v>
      </c>
      <c r="K33" s="15">
        <v>0</v>
      </c>
      <c r="L33" s="15">
        <v>0</v>
      </c>
      <c r="M33">
        <f t="shared" ref="M33:M42" si="15">SUM(G33:L33)</f>
        <v>638.97</v>
      </c>
      <c r="N33" s="5">
        <f t="shared" si="13"/>
        <v>4711.03</v>
      </c>
      <c r="O33" s="10">
        <v>510.86</v>
      </c>
      <c r="P33" s="10">
        <v>882.75</v>
      </c>
      <c r="Q33" s="35">
        <f t="shared" si="14"/>
        <v>1393.6100000000001</v>
      </c>
    </row>
    <row r="34" spans="1:17" x14ac:dyDescent="0.25">
      <c r="B34" t="s">
        <v>54</v>
      </c>
      <c r="C34" t="s">
        <v>96</v>
      </c>
      <c r="D34" t="s">
        <v>78</v>
      </c>
      <c r="E34">
        <v>5350</v>
      </c>
      <c r="F34">
        <f t="shared" si="12"/>
        <v>5350</v>
      </c>
      <c r="G34" s="15">
        <v>0</v>
      </c>
      <c r="H34">
        <v>588.20000000000005</v>
      </c>
      <c r="I34">
        <v>50.77</v>
      </c>
      <c r="J34" s="15">
        <v>0</v>
      </c>
      <c r="K34" s="15">
        <v>0</v>
      </c>
      <c r="L34" s="15">
        <v>0</v>
      </c>
      <c r="M34">
        <f t="shared" si="15"/>
        <v>638.97</v>
      </c>
      <c r="N34" s="5">
        <f t="shared" si="13"/>
        <v>4711.03</v>
      </c>
      <c r="O34" s="10">
        <v>510.86</v>
      </c>
      <c r="P34" s="10">
        <v>882.75</v>
      </c>
      <c r="Q34" s="35">
        <f t="shared" si="14"/>
        <v>1393.6100000000001</v>
      </c>
    </row>
    <row r="35" spans="1:17" x14ac:dyDescent="0.25">
      <c r="B35" t="s">
        <v>55</v>
      </c>
      <c r="C35" t="s">
        <v>104</v>
      </c>
      <c r="D35" t="s">
        <v>78</v>
      </c>
      <c r="E35">
        <v>5350</v>
      </c>
      <c r="F35">
        <f t="shared" si="12"/>
        <v>5350</v>
      </c>
      <c r="G35" s="15">
        <v>0</v>
      </c>
      <c r="H35">
        <v>588.20000000000005</v>
      </c>
      <c r="I35">
        <v>50.77</v>
      </c>
      <c r="J35" s="15">
        <v>0</v>
      </c>
      <c r="K35" s="15">
        <v>0</v>
      </c>
      <c r="L35" s="15">
        <v>0</v>
      </c>
      <c r="M35">
        <f t="shared" si="15"/>
        <v>638.97</v>
      </c>
      <c r="N35" s="5">
        <f t="shared" si="13"/>
        <v>4711.03</v>
      </c>
      <c r="O35" s="10">
        <v>510.86</v>
      </c>
      <c r="P35" s="10">
        <v>882.75</v>
      </c>
      <c r="Q35" s="35">
        <f t="shared" si="14"/>
        <v>1393.6100000000001</v>
      </c>
    </row>
    <row r="36" spans="1:17" x14ac:dyDescent="0.25">
      <c r="B36" t="s">
        <v>56</v>
      </c>
      <c r="C36" t="s">
        <v>94</v>
      </c>
      <c r="D36" t="s">
        <v>81</v>
      </c>
      <c r="E36">
        <v>5350</v>
      </c>
      <c r="F36">
        <f t="shared" si="12"/>
        <v>5350</v>
      </c>
      <c r="G36" s="15">
        <v>0</v>
      </c>
      <c r="H36">
        <v>588.20000000000005</v>
      </c>
      <c r="I36">
        <v>50.77</v>
      </c>
      <c r="J36" s="15">
        <v>0</v>
      </c>
      <c r="K36" s="15">
        <v>0</v>
      </c>
      <c r="L36" s="15">
        <v>0</v>
      </c>
      <c r="M36">
        <f t="shared" si="15"/>
        <v>638.97</v>
      </c>
      <c r="N36" s="5">
        <f t="shared" si="13"/>
        <v>4711.03</v>
      </c>
      <c r="O36" s="10">
        <v>510.86</v>
      </c>
      <c r="P36" s="10">
        <v>882.75</v>
      </c>
      <c r="Q36" s="35">
        <f t="shared" si="14"/>
        <v>1393.6100000000001</v>
      </c>
    </row>
    <row r="37" spans="1:17" x14ac:dyDescent="0.25">
      <c r="B37" t="s">
        <v>57</v>
      </c>
      <c r="C37" t="s">
        <v>98</v>
      </c>
      <c r="D37" t="s">
        <v>81</v>
      </c>
      <c r="E37">
        <v>5350</v>
      </c>
      <c r="F37">
        <f t="shared" si="12"/>
        <v>5350</v>
      </c>
      <c r="G37" s="15">
        <v>0</v>
      </c>
      <c r="H37">
        <v>588.20000000000005</v>
      </c>
      <c r="I37">
        <v>50.77</v>
      </c>
      <c r="J37" s="15">
        <v>0</v>
      </c>
      <c r="K37" s="15">
        <v>0</v>
      </c>
      <c r="L37" s="15">
        <v>0</v>
      </c>
      <c r="M37">
        <f t="shared" si="15"/>
        <v>638.97</v>
      </c>
      <c r="N37" s="5">
        <f t="shared" si="13"/>
        <v>4711.03</v>
      </c>
      <c r="O37" s="10">
        <v>510.86</v>
      </c>
      <c r="P37" s="10">
        <v>882.75</v>
      </c>
      <c r="Q37" s="35">
        <f t="shared" si="14"/>
        <v>1393.6100000000001</v>
      </c>
    </row>
    <row r="38" spans="1:17" x14ac:dyDescent="0.25">
      <c r="B38" t="s">
        <v>58</v>
      </c>
      <c r="C38" t="s">
        <v>101</v>
      </c>
      <c r="D38" t="s">
        <v>81</v>
      </c>
      <c r="E38">
        <v>5350</v>
      </c>
      <c r="F38">
        <f t="shared" si="12"/>
        <v>5350</v>
      </c>
      <c r="G38" s="15">
        <v>0</v>
      </c>
      <c r="H38">
        <v>588.20000000000005</v>
      </c>
      <c r="I38">
        <v>50.77</v>
      </c>
      <c r="J38" s="15">
        <v>0</v>
      </c>
      <c r="K38" s="15">
        <v>0</v>
      </c>
      <c r="L38" s="15">
        <v>0</v>
      </c>
      <c r="M38">
        <f t="shared" si="15"/>
        <v>638.97</v>
      </c>
      <c r="N38" s="5">
        <f t="shared" si="13"/>
        <v>4711.03</v>
      </c>
      <c r="O38" s="10">
        <v>510.86</v>
      </c>
      <c r="P38" s="10">
        <v>882.75</v>
      </c>
      <c r="Q38" s="35">
        <f t="shared" si="14"/>
        <v>1393.6100000000001</v>
      </c>
    </row>
    <row r="39" spans="1:17" x14ac:dyDescent="0.25">
      <c r="B39" t="s">
        <v>59</v>
      </c>
      <c r="C39" t="s">
        <v>95</v>
      </c>
      <c r="D39" t="s">
        <v>82</v>
      </c>
      <c r="E39">
        <v>5350</v>
      </c>
      <c r="F39">
        <f t="shared" si="12"/>
        <v>5350</v>
      </c>
      <c r="G39" s="15">
        <v>0</v>
      </c>
      <c r="H39">
        <v>588.20000000000005</v>
      </c>
      <c r="I39">
        <v>50.77</v>
      </c>
      <c r="J39" s="15">
        <v>0</v>
      </c>
      <c r="K39" s="15">
        <v>0</v>
      </c>
      <c r="L39" s="15">
        <v>0</v>
      </c>
      <c r="M39">
        <f t="shared" si="15"/>
        <v>638.97</v>
      </c>
      <c r="N39" s="5">
        <f t="shared" si="13"/>
        <v>4711.03</v>
      </c>
      <c r="O39" s="10">
        <v>510.86</v>
      </c>
      <c r="P39" s="10">
        <v>882.75</v>
      </c>
      <c r="Q39" s="35">
        <f t="shared" si="14"/>
        <v>1393.6100000000001</v>
      </c>
    </row>
    <row r="40" spans="1:17" x14ac:dyDescent="0.25">
      <c r="B40" t="s">
        <v>60</v>
      </c>
      <c r="C40" t="s">
        <v>102</v>
      </c>
      <c r="D40" t="s">
        <v>82</v>
      </c>
      <c r="E40">
        <v>5350</v>
      </c>
      <c r="F40">
        <f t="shared" si="12"/>
        <v>5350</v>
      </c>
      <c r="G40" s="15">
        <v>0</v>
      </c>
      <c r="H40">
        <v>588.20000000000005</v>
      </c>
      <c r="I40">
        <v>50.77</v>
      </c>
      <c r="J40" s="15">
        <v>0</v>
      </c>
      <c r="K40" s="15">
        <v>0</v>
      </c>
      <c r="L40" s="15">
        <v>0</v>
      </c>
      <c r="M40">
        <f t="shared" si="15"/>
        <v>638.97</v>
      </c>
      <c r="N40" s="5">
        <f t="shared" si="13"/>
        <v>4711.03</v>
      </c>
      <c r="O40" s="10">
        <v>510.86</v>
      </c>
      <c r="P40" s="10">
        <v>882.75</v>
      </c>
      <c r="Q40" s="35">
        <f t="shared" si="14"/>
        <v>1393.6100000000001</v>
      </c>
    </row>
    <row r="41" spans="1:17" x14ac:dyDescent="0.25">
      <c r="B41" t="s">
        <v>61</v>
      </c>
      <c r="C41" t="s">
        <v>85</v>
      </c>
      <c r="D41" t="s">
        <v>83</v>
      </c>
      <c r="E41">
        <v>5350</v>
      </c>
      <c r="F41">
        <f t="shared" si="12"/>
        <v>5350</v>
      </c>
      <c r="G41" s="15">
        <v>0</v>
      </c>
      <c r="H41">
        <v>588.20000000000005</v>
      </c>
      <c r="I41">
        <v>50.77</v>
      </c>
      <c r="J41" s="15">
        <v>0</v>
      </c>
      <c r="K41" s="15">
        <v>0</v>
      </c>
      <c r="L41" s="15">
        <v>0</v>
      </c>
      <c r="M41">
        <f t="shared" si="15"/>
        <v>638.97</v>
      </c>
      <c r="N41" s="5">
        <f t="shared" si="13"/>
        <v>4711.03</v>
      </c>
      <c r="O41" s="10">
        <v>510.86</v>
      </c>
      <c r="P41" s="10">
        <v>882.75</v>
      </c>
      <c r="Q41" s="35">
        <f t="shared" si="14"/>
        <v>1393.6100000000001</v>
      </c>
    </row>
    <row r="42" spans="1:17" x14ac:dyDescent="0.25">
      <c r="B42" t="s">
        <v>62</v>
      </c>
      <c r="C42" t="s">
        <v>103</v>
      </c>
      <c r="D42" t="s">
        <v>83</v>
      </c>
      <c r="E42">
        <v>5350</v>
      </c>
      <c r="F42">
        <f t="shared" si="12"/>
        <v>5350</v>
      </c>
      <c r="G42" s="15">
        <v>0</v>
      </c>
      <c r="H42">
        <v>588.20000000000005</v>
      </c>
      <c r="I42">
        <v>50.77</v>
      </c>
      <c r="J42" s="15">
        <v>0</v>
      </c>
      <c r="K42" s="15">
        <v>0</v>
      </c>
      <c r="L42" s="15">
        <v>0</v>
      </c>
      <c r="M42">
        <f t="shared" si="15"/>
        <v>638.97</v>
      </c>
      <c r="N42" s="5">
        <f t="shared" si="13"/>
        <v>4711.03</v>
      </c>
      <c r="O42" s="10">
        <v>510.86</v>
      </c>
      <c r="P42" s="10">
        <v>882.75</v>
      </c>
      <c r="Q42" s="35">
        <f t="shared" si="14"/>
        <v>1393.6100000000001</v>
      </c>
    </row>
    <row r="43" spans="1:17" x14ac:dyDescent="0.25">
      <c r="A43" t="s">
        <v>138</v>
      </c>
      <c r="B43" s="2" t="s">
        <v>26</v>
      </c>
      <c r="E43" s="34">
        <f>SUM(E32:E42)</f>
        <v>58850</v>
      </c>
      <c r="F43" s="34">
        <f t="shared" ref="F43:Q43" si="16">SUM(F32:F42)</f>
        <v>58850</v>
      </c>
      <c r="G43" s="34">
        <f t="shared" si="16"/>
        <v>0</v>
      </c>
      <c r="H43" s="34">
        <f t="shared" si="16"/>
        <v>6470.1999999999989</v>
      </c>
      <c r="I43" s="34">
        <f t="shared" si="16"/>
        <v>558.46999999999991</v>
      </c>
      <c r="J43" s="34">
        <f t="shared" si="16"/>
        <v>0</v>
      </c>
      <c r="K43" s="34">
        <f t="shared" si="16"/>
        <v>0</v>
      </c>
      <c r="L43" s="34">
        <f t="shared" si="16"/>
        <v>0</v>
      </c>
      <c r="M43" s="34">
        <f t="shared" si="16"/>
        <v>7028.6700000000019</v>
      </c>
      <c r="N43" s="34">
        <f t="shared" si="16"/>
        <v>51821.329999999994</v>
      </c>
      <c r="O43" s="34">
        <f t="shared" si="16"/>
        <v>5619.46</v>
      </c>
      <c r="P43" s="34">
        <f t="shared" si="16"/>
        <v>9710.25</v>
      </c>
      <c r="Q43" s="34">
        <f t="shared" si="16"/>
        <v>15329.710000000005</v>
      </c>
    </row>
    <row r="45" spans="1:17" x14ac:dyDescent="0.25">
      <c r="B45" s="2" t="s">
        <v>63</v>
      </c>
      <c r="C45" s="2" t="s">
        <v>64</v>
      </c>
    </row>
    <row r="46" spans="1:17" x14ac:dyDescent="0.25">
      <c r="B46" t="s">
        <v>65</v>
      </c>
      <c r="C46" t="s">
        <v>99</v>
      </c>
      <c r="D46" t="s">
        <v>80</v>
      </c>
      <c r="E46">
        <v>5350</v>
      </c>
      <c r="F46">
        <f>E46</f>
        <v>5350</v>
      </c>
      <c r="G46" s="15">
        <v>0</v>
      </c>
      <c r="H46">
        <v>588.20000000000005</v>
      </c>
      <c r="I46">
        <v>50.77</v>
      </c>
      <c r="J46" s="15">
        <v>0</v>
      </c>
      <c r="K46" s="15">
        <v>0</v>
      </c>
      <c r="L46" s="15">
        <v>0</v>
      </c>
      <c r="M46">
        <f>SUM(G46:L46)</f>
        <v>638.97</v>
      </c>
      <c r="N46" s="5">
        <f>F46-M46</f>
        <v>4711.03</v>
      </c>
      <c r="O46" s="10">
        <v>510.86</v>
      </c>
      <c r="P46" s="10">
        <v>882.75</v>
      </c>
      <c r="Q46" s="35">
        <f t="shared" ref="Q46" si="17">O46+P46</f>
        <v>1393.6100000000001</v>
      </c>
    </row>
    <row r="47" spans="1:17" x14ac:dyDescent="0.25">
      <c r="A47" t="s">
        <v>139</v>
      </c>
      <c r="B47" s="2" t="s">
        <v>26</v>
      </c>
      <c r="E47" s="34">
        <f>E46</f>
        <v>5350</v>
      </c>
      <c r="F47" s="34">
        <f t="shared" ref="F47:Q47" si="18">F46</f>
        <v>5350</v>
      </c>
      <c r="G47" s="34">
        <f t="shared" si="18"/>
        <v>0</v>
      </c>
      <c r="H47" s="34">
        <f t="shared" si="18"/>
        <v>588.20000000000005</v>
      </c>
      <c r="I47" s="34">
        <f t="shared" si="18"/>
        <v>50.77</v>
      </c>
      <c r="J47" s="34">
        <f t="shared" si="18"/>
        <v>0</v>
      </c>
      <c r="K47" s="34">
        <f t="shared" si="18"/>
        <v>0</v>
      </c>
      <c r="L47" s="34">
        <f t="shared" si="18"/>
        <v>0</v>
      </c>
      <c r="M47" s="34">
        <f t="shared" si="18"/>
        <v>638.97</v>
      </c>
      <c r="N47" s="34">
        <f t="shared" si="18"/>
        <v>4711.03</v>
      </c>
      <c r="O47" s="34">
        <f t="shared" si="18"/>
        <v>510.86</v>
      </c>
      <c r="P47" s="34">
        <f t="shared" si="18"/>
        <v>882.75</v>
      </c>
      <c r="Q47" s="34">
        <f t="shared" si="18"/>
        <v>1393.6100000000001</v>
      </c>
    </row>
    <row r="49" spans="2:17" x14ac:dyDescent="0.25">
      <c r="B49" s="2" t="s">
        <v>66</v>
      </c>
    </row>
    <row r="50" spans="2:17" x14ac:dyDescent="0.25">
      <c r="B50" t="s">
        <v>67</v>
      </c>
      <c r="D50" t="s">
        <v>84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f>SUM(G50:L50)</f>
        <v>0</v>
      </c>
      <c r="N50" s="15">
        <f>F50-M50</f>
        <v>0</v>
      </c>
      <c r="O50" s="15">
        <v>0</v>
      </c>
      <c r="P50" s="15">
        <v>0</v>
      </c>
      <c r="Q50" s="15">
        <v>0</v>
      </c>
    </row>
    <row r="51" spans="2:17" x14ac:dyDescent="0.25">
      <c r="B51" s="11" t="s">
        <v>68</v>
      </c>
      <c r="C51" s="11" t="s">
        <v>92</v>
      </c>
      <c r="D51" s="11" t="s">
        <v>7</v>
      </c>
      <c r="E51" s="11">
        <v>2000</v>
      </c>
      <c r="F51" s="11">
        <f>E51</f>
        <v>2000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f t="shared" ref="M51:M54" si="19">SUM(G51:L51)</f>
        <v>0</v>
      </c>
      <c r="N51">
        <f t="shared" ref="N51:N54" si="20">F51-M51</f>
        <v>2000</v>
      </c>
      <c r="O51" s="15">
        <v>0</v>
      </c>
      <c r="P51" s="15">
        <v>0</v>
      </c>
      <c r="Q51" s="15">
        <v>0</v>
      </c>
    </row>
    <row r="52" spans="2:17" x14ac:dyDescent="0.25">
      <c r="B52" t="s">
        <v>69</v>
      </c>
      <c r="D52" t="s">
        <v>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f t="shared" si="19"/>
        <v>0</v>
      </c>
      <c r="N52" s="15">
        <f t="shared" si="20"/>
        <v>0</v>
      </c>
      <c r="O52" s="15">
        <v>0</v>
      </c>
      <c r="P52" s="15">
        <v>0</v>
      </c>
      <c r="Q52" s="15">
        <v>0</v>
      </c>
    </row>
    <row r="53" spans="2:17" x14ac:dyDescent="0.25">
      <c r="B53" t="s">
        <v>70</v>
      </c>
      <c r="D53" t="s">
        <v>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f t="shared" si="19"/>
        <v>0</v>
      </c>
      <c r="N53" s="15">
        <f t="shared" si="20"/>
        <v>0</v>
      </c>
      <c r="O53" s="15">
        <v>0</v>
      </c>
      <c r="P53" s="15">
        <v>0</v>
      </c>
      <c r="Q53" s="15">
        <v>0</v>
      </c>
    </row>
    <row r="54" spans="2:17" x14ac:dyDescent="0.25">
      <c r="B54" t="s">
        <v>71</v>
      </c>
      <c r="D54" t="s">
        <v>7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f t="shared" si="19"/>
        <v>0</v>
      </c>
      <c r="N54" s="15">
        <f t="shared" si="20"/>
        <v>0</v>
      </c>
      <c r="O54" s="15">
        <v>0</v>
      </c>
      <c r="P54" s="15">
        <v>0</v>
      </c>
      <c r="Q54" s="15">
        <v>0</v>
      </c>
    </row>
    <row r="55" spans="2:17" x14ac:dyDescent="0.25">
      <c r="B55" s="2" t="s">
        <v>26</v>
      </c>
      <c r="E55" s="8">
        <f>SUM(E50:E54)</f>
        <v>2000</v>
      </c>
      <c r="F55" s="8">
        <f t="shared" ref="F55:Q55" si="21">SUM(F50:F54)</f>
        <v>2000</v>
      </c>
      <c r="G55" s="8">
        <f t="shared" si="21"/>
        <v>0</v>
      </c>
      <c r="H55" s="8">
        <f t="shared" si="21"/>
        <v>0</v>
      </c>
      <c r="I55" s="8">
        <f t="shared" si="21"/>
        <v>0</v>
      </c>
      <c r="J55" s="8">
        <f t="shared" si="21"/>
        <v>0</v>
      </c>
      <c r="K55" s="8">
        <f t="shared" si="21"/>
        <v>0</v>
      </c>
      <c r="L55" s="8">
        <f t="shared" si="21"/>
        <v>0</v>
      </c>
      <c r="M55" s="8">
        <f t="shared" si="21"/>
        <v>0</v>
      </c>
      <c r="N55" s="8">
        <f t="shared" si="21"/>
        <v>2000</v>
      </c>
      <c r="O55" s="8">
        <f t="shared" si="21"/>
        <v>0</v>
      </c>
      <c r="P55" s="8">
        <f t="shared" si="21"/>
        <v>0</v>
      </c>
      <c r="Q55" s="8">
        <f t="shared" si="21"/>
        <v>0</v>
      </c>
    </row>
    <row r="58" spans="2:17" ht="18.75" x14ac:dyDescent="0.3">
      <c r="D58" s="4" t="s">
        <v>105</v>
      </c>
      <c r="E58" s="9">
        <f>E8+E19+E24+E29+E43+E47+E55</f>
        <v>139404.95000000001</v>
      </c>
      <c r="F58" s="9">
        <f t="shared" ref="F58:Q58" si="22">F8+F19+F24+F29+F43+F47+F55</f>
        <v>139404.95000000001</v>
      </c>
      <c r="G58" s="9">
        <f t="shared" si="22"/>
        <v>0</v>
      </c>
      <c r="H58" s="9">
        <f t="shared" si="22"/>
        <v>17097.66</v>
      </c>
      <c r="I58" s="9">
        <f t="shared" si="22"/>
        <v>1338.2849999999999</v>
      </c>
      <c r="J58" s="9">
        <f t="shared" si="22"/>
        <v>0</v>
      </c>
      <c r="K58" s="9">
        <f t="shared" si="22"/>
        <v>0</v>
      </c>
      <c r="L58" s="9">
        <f t="shared" si="22"/>
        <v>0</v>
      </c>
      <c r="M58" s="9">
        <f t="shared" si="22"/>
        <v>18435.945000000003</v>
      </c>
      <c r="N58" s="9">
        <f t="shared" si="22"/>
        <v>120969.005</v>
      </c>
      <c r="O58" s="9">
        <f t="shared" si="22"/>
        <v>12631.630000000001</v>
      </c>
      <c r="P58" s="9">
        <f t="shared" si="22"/>
        <v>22671.809999999998</v>
      </c>
      <c r="Q58" s="9">
        <f t="shared" si="22"/>
        <v>35303.440000000002</v>
      </c>
    </row>
    <row r="61" spans="2:17" x14ac:dyDescent="0.25">
      <c r="C61" s="33"/>
      <c r="F61" s="1"/>
    </row>
  </sheetData>
  <mergeCells count="1">
    <mergeCell ref="E2:Q2"/>
  </mergeCells>
  <pageMargins left="0.7" right="0.7" top="0.75" bottom="0.75" header="0.3" footer="0.3"/>
  <pageSetup paperSize="9" orientation="portrait" verticalDpi="0" r:id="rId1"/>
  <ignoredErrors>
    <ignoredError sqref="M50 M52:M54 M22 M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R56"/>
  <sheetViews>
    <sheetView workbookViewId="0">
      <pane xSplit="4" ySplit="3" topLeftCell="L4" activePane="bottomRight" state="frozen"/>
      <selection activeCell="F58" sqref="F58"/>
      <selection pane="topRight" activeCell="F58" sqref="F58"/>
      <selection pane="bottomLeft" activeCell="F58" sqref="F58"/>
      <selection pane="bottomRight" activeCell="G8" sqref="G8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style="15" customWidth="1"/>
    <col min="6" max="6" width="14.42578125" style="15" customWidth="1"/>
    <col min="7" max="7" width="17.28515625" style="15" customWidth="1"/>
    <col min="8" max="8" width="11.42578125" style="15" customWidth="1"/>
    <col min="9" max="9" width="12.85546875" style="15" customWidth="1"/>
    <col min="10" max="11" width="11.42578125" style="15" customWidth="1"/>
    <col min="12" max="12" width="16" style="15" customWidth="1"/>
    <col min="13" max="13" width="17.42578125" style="15" customWidth="1"/>
    <col min="14" max="14" width="20.140625" style="15" customWidth="1"/>
    <col min="15" max="15" width="16" customWidth="1"/>
    <col min="16" max="16" width="15.5703125" customWidth="1"/>
    <col min="17" max="17" width="19.28515625" customWidth="1"/>
    <col min="18" max="18" width="11.42578125" customWidth="1"/>
  </cols>
  <sheetData>
    <row r="1" spans="1:18" ht="18.75" x14ac:dyDescent="0.25">
      <c r="C1" s="6" t="s">
        <v>112</v>
      </c>
      <c r="D1" s="11"/>
    </row>
    <row r="2" spans="1:18" ht="15.75" thickBot="1" x14ac:dyDescent="0.3"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8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50" t="s">
        <v>113</v>
      </c>
      <c r="G3" s="49" t="s">
        <v>12</v>
      </c>
      <c r="H3" s="49" t="s">
        <v>107</v>
      </c>
      <c r="I3" s="49" t="s">
        <v>13</v>
      </c>
      <c r="J3" s="49" t="s">
        <v>15</v>
      </c>
      <c r="K3" s="49" t="s">
        <v>106</v>
      </c>
      <c r="L3" s="49" t="s">
        <v>16</v>
      </c>
      <c r="M3" s="49" t="s">
        <v>17</v>
      </c>
      <c r="N3" s="49" t="s">
        <v>72</v>
      </c>
      <c r="O3" s="48" t="s">
        <v>8</v>
      </c>
      <c r="P3" s="48" t="s">
        <v>18</v>
      </c>
      <c r="Q3" s="51" t="s">
        <v>73</v>
      </c>
      <c r="R3" s="14"/>
    </row>
    <row r="4" spans="1:18" ht="15.75" thickTop="1" x14ac:dyDescent="0.25">
      <c r="B4" s="2" t="s">
        <v>19</v>
      </c>
      <c r="C4" s="2" t="s">
        <v>20</v>
      </c>
      <c r="D4" s="2"/>
    </row>
    <row r="5" spans="1:18" x14ac:dyDescent="0.25">
      <c r="B5" t="s">
        <v>21</v>
      </c>
      <c r="C5" s="11" t="s">
        <v>22</v>
      </c>
      <c r="D5" t="s">
        <v>25</v>
      </c>
      <c r="E5" s="15">
        <v>16954.95</v>
      </c>
      <c r="F5" s="15">
        <v>565.95000000000005</v>
      </c>
      <c r="G5" s="15">
        <f>E5+F5</f>
        <v>17520.900000000001</v>
      </c>
      <c r="H5" s="15">
        <v>0</v>
      </c>
      <c r="I5" s="15">
        <v>3246.93</v>
      </c>
      <c r="J5" s="15">
        <v>0</v>
      </c>
      <c r="K5" s="15">
        <v>0</v>
      </c>
      <c r="L5" s="15">
        <f>E5*0.105</f>
        <v>1780.2697499999999</v>
      </c>
      <c r="M5" s="15">
        <f>SUM(H5:L5)</f>
        <v>5027.1997499999998</v>
      </c>
      <c r="N5" s="18">
        <f>G5-M5</f>
        <v>12493.700250000002</v>
      </c>
      <c r="O5" s="10">
        <v>1223.77</v>
      </c>
      <c r="P5" s="10">
        <v>2797.56</v>
      </c>
      <c r="Q5" s="35">
        <f>SUM(O5:P5)</f>
        <v>4021.33</v>
      </c>
    </row>
    <row r="6" spans="1:18" x14ac:dyDescent="0.25">
      <c r="B6" t="s">
        <v>23</v>
      </c>
      <c r="C6" s="11" t="s">
        <v>24</v>
      </c>
      <c r="D6" t="s">
        <v>3</v>
      </c>
      <c r="E6" s="15">
        <v>4850</v>
      </c>
      <c r="F6" s="15">
        <v>134.505</v>
      </c>
      <c r="G6" s="15">
        <f t="shared" ref="G6:G7" si="0">E6+F6</f>
        <v>4984.5050000000001</v>
      </c>
      <c r="H6" s="15">
        <v>0</v>
      </c>
      <c r="I6" s="15">
        <v>491.69</v>
      </c>
      <c r="J6" s="15">
        <v>0</v>
      </c>
      <c r="K6" s="15">
        <v>0</v>
      </c>
      <c r="L6" s="15">
        <f t="shared" ref="L6:L7" si="1">E6*0.105</f>
        <v>509.25</v>
      </c>
      <c r="M6" s="15">
        <f>SUM(H6:L6)</f>
        <v>1000.94</v>
      </c>
      <c r="N6" s="18">
        <f>G6-M6</f>
        <v>3983.5650000000001</v>
      </c>
      <c r="O6" s="10">
        <v>480.14</v>
      </c>
      <c r="P6" s="10">
        <v>800.25</v>
      </c>
      <c r="Q6" s="35">
        <f t="shared" ref="Q6:Q7" si="2">SUM(O6:P6)</f>
        <v>1280.3899999999999</v>
      </c>
    </row>
    <row r="7" spans="1:18" x14ac:dyDescent="0.25">
      <c r="B7" t="s">
        <v>41</v>
      </c>
      <c r="C7" s="11" t="s">
        <v>42</v>
      </c>
      <c r="D7" t="s">
        <v>2</v>
      </c>
      <c r="E7" s="15">
        <v>10000</v>
      </c>
      <c r="F7" s="15">
        <v>106.02</v>
      </c>
      <c r="G7" s="15">
        <f t="shared" si="0"/>
        <v>10106.02</v>
      </c>
      <c r="H7" s="15">
        <v>0</v>
      </c>
      <c r="I7" s="15">
        <v>1581.44</v>
      </c>
      <c r="J7" s="15">
        <v>0</v>
      </c>
      <c r="K7" s="15">
        <v>0</v>
      </c>
      <c r="L7" s="15">
        <f t="shared" si="1"/>
        <v>1050</v>
      </c>
      <c r="M7" s="15">
        <f>SUM(H7:L7)</f>
        <v>2631.44</v>
      </c>
      <c r="N7" s="18">
        <f>G7-M7</f>
        <v>7474.58</v>
      </c>
      <c r="O7" s="10">
        <v>796.52</v>
      </c>
      <c r="P7" s="10">
        <v>1650</v>
      </c>
      <c r="Q7" s="35">
        <f t="shared" si="2"/>
        <v>2446.52</v>
      </c>
    </row>
    <row r="8" spans="1:18" x14ac:dyDescent="0.25">
      <c r="A8" t="s">
        <v>135</v>
      </c>
      <c r="B8" s="7" t="s">
        <v>26</v>
      </c>
      <c r="E8" s="34">
        <f>SUM(E5:E7)</f>
        <v>31804.95</v>
      </c>
      <c r="F8" s="34">
        <f>SUM(F5:F7)</f>
        <v>806.47500000000002</v>
      </c>
      <c r="G8" s="34">
        <f>SUM(G5:G7)</f>
        <v>32611.425000000003</v>
      </c>
      <c r="H8" s="34">
        <f t="shared" ref="H8:Q8" si="3">SUM(H5:H7)</f>
        <v>0</v>
      </c>
      <c r="I8" s="34">
        <f t="shared" si="3"/>
        <v>5320.0599999999995</v>
      </c>
      <c r="J8" s="34">
        <f t="shared" si="3"/>
        <v>0</v>
      </c>
      <c r="K8" s="34">
        <f t="shared" si="3"/>
        <v>0</v>
      </c>
      <c r="L8" s="34">
        <f t="shared" si="3"/>
        <v>3339.5197499999999</v>
      </c>
      <c r="M8" s="34">
        <f t="shared" si="3"/>
        <v>8659.5797500000008</v>
      </c>
      <c r="N8" s="34">
        <f t="shared" si="3"/>
        <v>23951.845249999998</v>
      </c>
      <c r="O8" s="34">
        <f t="shared" si="3"/>
        <v>2500.4299999999998</v>
      </c>
      <c r="P8" s="34">
        <f t="shared" si="3"/>
        <v>5247.8099999999995</v>
      </c>
      <c r="Q8" s="34">
        <f t="shared" si="3"/>
        <v>7748.24</v>
      </c>
    </row>
    <row r="10" spans="1:18" x14ac:dyDescent="0.25">
      <c r="B10" s="2" t="s">
        <v>27</v>
      </c>
      <c r="C10" s="2" t="s">
        <v>28</v>
      </c>
    </row>
    <row r="11" spans="1:18" x14ac:dyDescent="0.25">
      <c r="B11" t="s">
        <v>32</v>
      </c>
      <c r="C11" s="11" t="s">
        <v>37</v>
      </c>
      <c r="D11" t="s">
        <v>1</v>
      </c>
      <c r="E11" s="15">
        <v>10000</v>
      </c>
      <c r="F11" s="15">
        <v>106.02</v>
      </c>
      <c r="G11" s="15">
        <f>E11+F11</f>
        <v>10106.02</v>
      </c>
      <c r="H11" s="15">
        <v>0</v>
      </c>
      <c r="I11" s="15">
        <v>1581.44</v>
      </c>
      <c r="J11" s="15">
        <v>0</v>
      </c>
      <c r="K11" s="15">
        <v>0</v>
      </c>
      <c r="L11" s="15">
        <f t="shared" ref="L11:L18" si="4">E11*0.105</f>
        <v>1050</v>
      </c>
      <c r="M11" s="15">
        <f t="shared" ref="M11:M18" si="5">SUM(H11:L11)</f>
        <v>2631.44</v>
      </c>
      <c r="N11" s="18">
        <f t="shared" ref="N11:N18" si="6">G11-M11</f>
        <v>7474.58</v>
      </c>
      <c r="O11" s="10">
        <v>796.52</v>
      </c>
      <c r="P11" s="10">
        <v>1650</v>
      </c>
      <c r="Q11" s="35">
        <f>O11+P11</f>
        <v>2446.52</v>
      </c>
    </row>
    <row r="12" spans="1:18" x14ac:dyDescent="0.25">
      <c r="B12" t="s">
        <v>33</v>
      </c>
      <c r="C12" s="11" t="s">
        <v>38</v>
      </c>
      <c r="D12" t="s">
        <v>74</v>
      </c>
      <c r="E12" s="15">
        <v>5350</v>
      </c>
      <c r="F12" s="19">
        <v>50.77</v>
      </c>
      <c r="G12" s="15">
        <f t="shared" ref="G12:G18" si="7">E12+F12</f>
        <v>5400.77</v>
      </c>
      <c r="H12" s="15">
        <v>0</v>
      </c>
      <c r="I12" s="15">
        <v>588.20000000000005</v>
      </c>
      <c r="J12" s="15">
        <v>0</v>
      </c>
      <c r="K12" s="15">
        <v>0</v>
      </c>
      <c r="L12" s="15">
        <f t="shared" si="4"/>
        <v>561.75</v>
      </c>
      <c r="M12" s="15">
        <f t="shared" si="5"/>
        <v>1149.95</v>
      </c>
      <c r="N12" s="18">
        <f t="shared" si="6"/>
        <v>4250.8200000000006</v>
      </c>
      <c r="O12" s="10">
        <v>510.86</v>
      </c>
      <c r="P12" s="10">
        <v>882.75</v>
      </c>
      <c r="Q12" s="35">
        <f>O12+P12</f>
        <v>1393.6100000000001</v>
      </c>
    </row>
    <row r="13" spans="1:18" x14ac:dyDescent="0.25">
      <c r="B13" t="s">
        <v>34</v>
      </c>
      <c r="C13" t="s">
        <v>90</v>
      </c>
      <c r="D13" t="s">
        <v>75</v>
      </c>
      <c r="E13" s="15">
        <v>0</v>
      </c>
      <c r="F13" s="15">
        <f t="shared" ref="F13" si="8">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f t="shared" ref="M13" si="9">SUM(G13:L13)</f>
        <v>0</v>
      </c>
      <c r="N13" s="18">
        <f t="shared" ref="N13" si="10">F13-M13</f>
        <v>0</v>
      </c>
      <c r="O13" s="36">
        <v>0</v>
      </c>
      <c r="P13" s="36">
        <v>0</v>
      </c>
      <c r="Q13" s="35">
        <f>O13+P13</f>
        <v>0</v>
      </c>
    </row>
    <row r="14" spans="1:18" x14ac:dyDescent="0.25">
      <c r="B14" t="s">
        <v>35</v>
      </c>
      <c r="C14" t="s">
        <v>111</v>
      </c>
      <c r="D14" t="s">
        <v>77</v>
      </c>
      <c r="E14" s="15">
        <v>6000</v>
      </c>
      <c r="F14" s="15">
        <v>0</v>
      </c>
      <c r="G14" s="15">
        <f t="shared" si="7"/>
        <v>6000</v>
      </c>
      <c r="H14" s="15">
        <v>0</v>
      </c>
      <c r="I14" s="15">
        <v>727.04</v>
      </c>
      <c r="J14" s="15">
        <v>0</v>
      </c>
      <c r="K14" s="15">
        <v>0</v>
      </c>
      <c r="L14" s="15">
        <f t="shared" si="4"/>
        <v>630</v>
      </c>
      <c r="M14" s="15">
        <f t="shared" si="5"/>
        <v>1357.04</v>
      </c>
      <c r="N14" s="18">
        <f t="shared" si="6"/>
        <v>4642.96</v>
      </c>
      <c r="O14" s="10">
        <v>550.79</v>
      </c>
      <c r="P14" s="10">
        <v>990</v>
      </c>
      <c r="Q14" s="35">
        <f>O14+P14</f>
        <v>1540.79</v>
      </c>
    </row>
    <row r="15" spans="1:18" x14ac:dyDescent="0.25">
      <c r="B15" t="s">
        <v>36</v>
      </c>
      <c r="C15" t="s">
        <v>86</v>
      </c>
      <c r="D15" t="s">
        <v>5</v>
      </c>
      <c r="E15" s="15">
        <v>5000</v>
      </c>
      <c r="F15" s="15">
        <v>139.83000000000001</v>
      </c>
      <c r="G15" s="15">
        <f t="shared" si="7"/>
        <v>5139.83</v>
      </c>
      <c r="H15" s="15">
        <v>0</v>
      </c>
      <c r="I15" s="15">
        <v>518.57000000000005</v>
      </c>
      <c r="J15" s="15">
        <v>0</v>
      </c>
      <c r="K15" s="15">
        <v>0</v>
      </c>
      <c r="L15" s="15">
        <f t="shared" si="4"/>
        <v>525</v>
      </c>
      <c r="M15" s="15">
        <f t="shared" si="5"/>
        <v>1043.5700000000002</v>
      </c>
      <c r="N15" s="18">
        <f t="shared" si="6"/>
        <v>4096.26</v>
      </c>
      <c r="O15" s="10">
        <v>489.36</v>
      </c>
      <c r="P15" s="10">
        <v>825</v>
      </c>
      <c r="Q15" s="35">
        <f>O15+P15</f>
        <v>1314.3600000000001</v>
      </c>
    </row>
    <row r="16" spans="1:18" x14ac:dyDescent="0.25">
      <c r="B16" t="s">
        <v>115</v>
      </c>
      <c r="C16" t="s">
        <v>87</v>
      </c>
      <c r="D16" t="s">
        <v>39</v>
      </c>
      <c r="E16" s="15">
        <v>4500</v>
      </c>
      <c r="F16" s="15">
        <v>122.01</v>
      </c>
      <c r="G16" s="15">
        <f t="shared" si="7"/>
        <v>4622.01</v>
      </c>
      <c r="H16" s="15">
        <v>0</v>
      </c>
      <c r="I16" s="15">
        <v>428.97</v>
      </c>
      <c r="J16" s="15">
        <v>0</v>
      </c>
      <c r="K16" s="15">
        <v>0</v>
      </c>
      <c r="L16" s="15">
        <f t="shared" si="4"/>
        <v>472.5</v>
      </c>
      <c r="M16" s="15">
        <f t="shared" si="5"/>
        <v>901.47</v>
      </c>
      <c r="N16" s="18">
        <f t="shared" si="6"/>
        <v>3720.54</v>
      </c>
      <c r="O16" s="10">
        <v>458.64</v>
      </c>
      <c r="P16" s="10">
        <v>742.5</v>
      </c>
      <c r="Q16" s="35">
        <f t="shared" ref="Q16:Q18" si="11">O16+P16</f>
        <v>1201.1399999999999</v>
      </c>
    </row>
    <row r="17" spans="1:17" x14ac:dyDescent="0.25">
      <c r="B17" t="s">
        <v>116</v>
      </c>
      <c r="C17" t="s">
        <v>89</v>
      </c>
      <c r="D17" t="s">
        <v>4</v>
      </c>
      <c r="E17" s="15">
        <v>2700</v>
      </c>
      <c r="F17" s="15">
        <v>57.87</v>
      </c>
      <c r="G17" s="15">
        <f t="shared" si="7"/>
        <v>2757.87</v>
      </c>
      <c r="H17" s="15">
        <v>0</v>
      </c>
      <c r="I17" s="15">
        <v>188.33</v>
      </c>
      <c r="J17" s="15">
        <v>0</v>
      </c>
      <c r="K17" s="15">
        <v>0</v>
      </c>
      <c r="L17" s="15">
        <f t="shared" si="4"/>
        <v>283.5</v>
      </c>
      <c r="M17" s="15">
        <f t="shared" si="5"/>
        <v>471.83000000000004</v>
      </c>
      <c r="N17" s="18">
        <f t="shared" si="6"/>
        <v>2286.04</v>
      </c>
      <c r="O17" s="10">
        <v>348.07</v>
      </c>
      <c r="P17" s="10">
        <v>445.5</v>
      </c>
      <c r="Q17" s="35">
        <f t="shared" si="11"/>
        <v>793.56999999999994</v>
      </c>
    </row>
    <row r="18" spans="1:17" x14ac:dyDescent="0.25">
      <c r="B18" t="s">
        <v>117</v>
      </c>
      <c r="C18" t="s">
        <v>88</v>
      </c>
      <c r="D18" t="s">
        <v>40</v>
      </c>
      <c r="E18" s="15">
        <v>3150</v>
      </c>
      <c r="F18" s="15">
        <v>73.92</v>
      </c>
      <c r="G18" s="15">
        <f t="shared" si="7"/>
        <v>3223.92</v>
      </c>
      <c r="H18" s="15">
        <v>0</v>
      </c>
      <c r="I18" s="15">
        <v>237.29</v>
      </c>
      <c r="J18" s="15">
        <v>0</v>
      </c>
      <c r="K18" s="15">
        <v>0</v>
      </c>
      <c r="L18" s="15">
        <f t="shared" si="4"/>
        <v>330.75</v>
      </c>
      <c r="M18" s="15">
        <f t="shared" si="5"/>
        <v>568.04</v>
      </c>
      <c r="N18" s="18">
        <f t="shared" si="6"/>
        <v>2655.88</v>
      </c>
      <c r="O18" s="10">
        <v>375.71</v>
      </c>
      <c r="P18" s="10">
        <v>519.75</v>
      </c>
      <c r="Q18" s="35">
        <f t="shared" si="11"/>
        <v>895.46</v>
      </c>
    </row>
    <row r="19" spans="1:17" x14ac:dyDescent="0.25">
      <c r="A19" t="s">
        <v>136</v>
      </c>
      <c r="B19" s="2" t="s">
        <v>26</v>
      </c>
      <c r="E19" s="34">
        <f t="shared" ref="E19:Q19" si="12">SUM(E11:E18)</f>
        <v>36700</v>
      </c>
      <c r="F19" s="34">
        <f t="shared" si="12"/>
        <v>550.41999999999996</v>
      </c>
      <c r="G19" s="34">
        <f t="shared" si="12"/>
        <v>37250.420000000006</v>
      </c>
      <c r="H19" s="34">
        <f t="shared" si="12"/>
        <v>0</v>
      </c>
      <c r="I19" s="34">
        <f t="shared" si="12"/>
        <v>4269.84</v>
      </c>
      <c r="J19" s="34">
        <f t="shared" si="12"/>
        <v>0</v>
      </c>
      <c r="K19" s="34">
        <f t="shared" si="12"/>
        <v>0</v>
      </c>
      <c r="L19" s="34">
        <f t="shared" si="12"/>
        <v>3853.5</v>
      </c>
      <c r="M19" s="34">
        <f t="shared" si="12"/>
        <v>8123.34</v>
      </c>
      <c r="N19" s="34">
        <f t="shared" si="12"/>
        <v>29127.080000000005</v>
      </c>
      <c r="O19" s="34">
        <f t="shared" si="12"/>
        <v>3529.9500000000003</v>
      </c>
      <c r="P19" s="34">
        <f t="shared" si="12"/>
        <v>6055.5</v>
      </c>
      <c r="Q19" s="34">
        <f t="shared" si="12"/>
        <v>9585.4500000000007</v>
      </c>
    </row>
    <row r="20" spans="1:17" x14ac:dyDescent="0.25">
      <c r="B20" s="2"/>
    </row>
    <row r="21" spans="1:17" x14ac:dyDescent="0.25">
      <c r="B21" s="2" t="s">
        <v>43</v>
      </c>
      <c r="C21" s="2" t="s">
        <v>44</v>
      </c>
    </row>
    <row r="22" spans="1:17" x14ac:dyDescent="0.25">
      <c r="B22" t="s">
        <v>118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8">
        <v>0</v>
      </c>
      <c r="O22" s="36">
        <v>0</v>
      </c>
      <c r="P22" s="36">
        <v>0</v>
      </c>
      <c r="Q22" s="35">
        <v>0</v>
      </c>
    </row>
    <row r="23" spans="1:17" x14ac:dyDescent="0.25">
      <c r="B23" t="s">
        <v>119</v>
      </c>
      <c r="C23" t="s">
        <v>91</v>
      </c>
      <c r="D23" t="s">
        <v>76</v>
      </c>
      <c r="E23" s="15">
        <v>5350</v>
      </c>
      <c r="F23" s="15">
        <v>50.77</v>
      </c>
      <c r="G23" s="15">
        <f>E23+F23</f>
        <v>5400.77</v>
      </c>
      <c r="H23" s="15">
        <v>0</v>
      </c>
      <c r="I23" s="15">
        <v>588.20000000000005</v>
      </c>
      <c r="J23" s="15">
        <v>0</v>
      </c>
      <c r="K23" s="15">
        <v>0</v>
      </c>
      <c r="L23" s="15">
        <f t="shared" ref="L23" si="13">E23*0.105</f>
        <v>561.75</v>
      </c>
      <c r="M23" s="15">
        <f>SUM(H23:L23)</f>
        <v>1149.95</v>
      </c>
      <c r="N23" s="18">
        <f>G23-M23</f>
        <v>4250.8200000000006</v>
      </c>
      <c r="O23" s="10">
        <v>510.86</v>
      </c>
      <c r="P23" s="10">
        <v>882.75</v>
      </c>
      <c r="Q23" s="35">
        <f>O23+P23</f>
        <v>1393.6100000000001</v>
      </c>
    </row>
    <row r="24" spans="1:17" x14ac:dyDescent="0.25">
      <c r="A24" t="s">
        <v>134</v>
      </c>
      <c r="B24" s="2" t="s">
        <v>26</v>
      </c>
      <c r="E24" s="34">
        <f>SUM(E22:E23)</f>
        <v>5350</v>
      </c>
      <c r="F24" s="34">
        <f>F23</f>
        <v>50.77</v>
      </c>
      <c r="G24" s="34">
        <f>SUM(G22:G23)</f>
        <v>5400.77</v>
      </c>
      <c r="H24" s="34">
        <f t="shared" ref="H24:Q24" si="14">SUM(H22:H23)</f>
        <v>0</v>
      </c>
      <c r="I24" s="34">
        <f t="shared" si="14"/>
        <v>588.20000000000005</v>
      </c>
      <c r="J24" s="34">
        <f t="shared" si="14"/>
        <v>0</v>
      </c>
      <c r="K24" s="34">
        <f t="shared" si="14"/>
        <v>0</v>
      </c>
      <c r="L24" s="34">
        <f t="shared" si="14"/>
        <v>561.75</v>
      </c>
      <c r="M24" s="34">
        <f t="shared" si="14"/>
        <v>1149.95</v>
      </c>
      <c r="N24" s="34">
        <f t="shared" si="14"/>
        <v>4250.8200000000006</v>
      </c>
      <c r="O24" s="34">
        <f t="shared" si="14"/>
        <v>510.86</v>
      </c>
      <c r="P24" s="34">
        <f t="shared" si="14"/>
        <v>882.75</v>
      </c>
      <c r="Q24" s="34">
        <f t="shared" si="14"/>
        <v>1393.6100000000001</v>
      </c>
    </row>
    <row r="26" spans="1:17" x14ac:dyDescent="0.25">
      <c r="B26" s="2" t="s">
        <v>50</v>
      </c>
      <c r="C26" s="2" t="s">
        <v>47</v>
      </c>
    </row>
    <row r="27" spans="1:17" x14ac:dyDescent="0.25">
      <c r="B27" t="s">
        <v>120</v>
      </c>
      <c r="C27" t="s">
        <v>93</v>
      </c>
      <c r="D27" t="s">
        <v>78</v>
      </c>
      <c r="E27" s="15">
        <v>5350</v>
      </c>
      <c r="F27" s="15">
        <v>152.31</v>
      </c>
      <c r="G27" s="15">
        <f>E27+F27</f>
        <v>5502.31</v>
      </c>
      <c r="H27" s="15">
        <v>0</v>
      </c>
      <c r="I27" s="15">
        <v>588.20000000000005</v>
      </c>
      <c r="J27" s="15">
        <v>0</v>
      </c>
      <c r="K27" s="15">
        <v>0</v>
      </c>
      <c r="L27" s="15">
        <f>E27*0.105</f>
        <v>561.75</v>
      </c>
      <c r="M27" s="15">
        <f>SUM(H27:L27)</f>
        <v>1149.95</v>
      </c>
      <c r="N27" s="18">
        <f>G27-M27</f>
        <v>4352.3600000000006</v>
      </c>
      <c r="O27" s="10">
        <v>510.86</v>
      </c>
      <c r="P27" s="10">
        <v>882.75</v>
      </c>
      <c r="Q27" s="35">
        <f>O27+P27</f>
        <v>1393.6100000000001</v>
      </c>
    </row>
    <row r="28" spans="1:17" x14ac:dyDescent="0.25">
      <c r="B28" t="s">
        <v>121</v>
      </c>
      <c r="C28" t="s">
        <v>114</v>
      </c>
      <c r="D28" t="s">
        <v>79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v>0</v>
      </c>
      <c r="K28" s="15">
        <v>0</v>
      </c>
      <c r="L28" s="15">
        <f>E28*0.105</f>
        <v>561.75</v>
      </c>
      <c r="M28" s="15">
        <f>SUM(H28:L28)</f>
        <v>1149.95</v>
      </c>
      <c r="N28" s="18">
        <f>G28-M28</f>
        <v>4200.05</v>
      </c>
      <c r="O28" s="36">
        <v>510.86</v>
      </c>
      <c r="P28" s="36">
        <v>882.75</v>
      </c>
      <c r="Q28" s="35">
        <f>O28+P28</f>
        <v>1393.6100000000001</v>
      </c>
    </row>
    <row r="29" spans="1:17" x14ac:dyDescent="0.25">
      <c r="A29" t="s">
        <v>137</v>
      </c>
      <c r="B29" s="2" t="s">
        <v>26</v>
      </c>
      <c r="E29" s="34">
        <f>SUM(E27:E28)</f>
        <v>10700</v>
      </c>
      <c r="F29" s="34">
        <f>SUM(F27:F28)</f>
        <v>152.31</v>
      </c>
      <c r="G29" s="34">
        <f>SUM(G27:G28)</f>
        <v>10852.310000000001</v>
      </c>
      <c r="H29" s="34">
        <f t="shared" ref="H29:Q29" si="15">SUM(H27:H28)</f>
        <v>0</v>
      </c>
      <c r="I29" s="34">
        <f t="shared" si="15"/>
        <v>1176.4000000000001</v>
      </c>
      <c r="J29" s="34">
        <f t="shared" si="15"/>
        <v>0</v>
      </c>
      <c r="K29" s="34">
        <f t="shared" si="15"/>
        <v>0</v>
      </c>
      <c r="L29" s="34">
        <f t="shared" si="15"/>
        <v>1123.5</v>
      </c>
      <c r="M29" s="34">
        <f t="shared" si="15"/>
        <v>2299.9</v>
      </c>
      <c r="N29" s="34">
        <f t="shared" si="15"/>
        <v>8552.41</v>
      </c>
      <c r="O29" s="34">
        <f t="shared" si="15"/>
        <v>1021.72</v>
      </c>
      <c r="P29" s="34">
        <f t="shared" si="15"/>
        <v>1765.5</v>
      </c>
      <c r="Q29" s="34">
        <f t="shared" si="15"/>
        <v>2787.2200000000003</v>
      </c>
    </row>
    <row r="31" spans="1:17" x14ac:dyDescent="0.25">
      <c r="B31" s="2" t="s">
        <v>63</v>
      </c>
      <c r="C31" s="2" t="s">
        <v>51</v>
      </c>
    </row>
    <row r="32" spans="1:17" x14ac:dyDescent="0.25">
      <c r="B32" t="s">
        <v>122</v>
      </c>
      <c r="C32" t="s">
        <v>97</v>
      </c>
      <c r="D32" t="s">
        <v>80</v>
      </c>
      <c r="E32" s="15">
        <v>5350</v>
      </c>
      <c r="F32" s="15">
        <v>152.31</v>
      </c>
      <c r="G32" s="15">
        <f>E32+F32</f>
        <v>5502.31</v>
      </c>
      <c r="H32" s="15">
        <v>0</v>
      </c>
      <c r="I32" s="15">
        <v>588.20000000000005</v>
      </c>
      <c r="J32" s="15">
        <v>0</v>
      </c>
      <c r="K32" s="15">
        <v>0</v>
      </c>
      <c r="L32" s="15">
        <f>E32*0.105</f>
        <v>561.75</v>
      </c>
      <c r="M32" s="15">
        <f t="shared" ref="M32:M42" si="16">SUM(H32:L32)</f>
        <v>1149.95</v>
      </c>
      <c r="N32" s="18">
        <f t="shared" ref="N32:N42" si="17">G32-M32</f>
        <v>4352.3600000000006</v>
      </c>
      <c r="O32" s="10">
        <v>510.86</v>
      </c>
      <c r="P32" s="10">
        <v>882.75</v>
      </c>
      <c r="Q32" s="35">
        <f t="shared" ref="Q32:Q42" si="18">O32+P32</f>
        <v>1393.6100000000001</v>
      </c>
    </row>
    <row r="33" spans="1:17" x14ac:dyDescent="0.25">
      <c r="B33" t="s">
        <v>123</v>
      </c>
      <c r="C33" t="s">
        <v>100</v>
      </c>
      <c r="D33" t="s">
        <v>80</v>
      </c>
      <c r="E33" s="15">
        <v>5350</v>
      </c>
      <c r="F33" s="15">
        <v>152.31</v>
      </c>
      <c r="G33" s="15">
        <f t="shared" ref="G33:G42" si="19">E33+F33</f>
        <v>5502.31</v>
      </c>
      <c r="H33" s="15">
        <v>0</v>
      </c>
      <c r="I33" s="15">
        <v>588.20000000000005</v>
      </c>
      <c r="J33" s="15">
        <v>0</v>
      </c>
      <c r="K33" s="15">
        <v>0</v>
      </c>
      <c r="L33" s="15">
        <f t="shared" ref="L33:L42" si="20">E33*0.105</f>
        <v>561.75</v>
      </c>
      <c r="M33" s="15">
        <f t="shared" si="16"/>
        <v>1149.95</v>
      </c>
      <c r="N33" s="18">
        <f t="shared" si="17"/>
        <v>4352.3600000000006</v>
      </c>
      <c r="O33" s="10">
        <v>510.86</v>
      </c>
      <c r="P33" s="10">
        <v>882.75</v>
      </c>
      <c r="Q33" s="35">
        <f t="shared" si="18"/>
        <v>1393.6100000000001</v>
      </c>
    </row>
    <row r="34" spans="1:17" x14ac:dyDescent="0.25">
      <c r="B34" t="s">
        <v>124</v>
      </c>
      <c r="C34" t="s">
        <v>96</v>
      </c>
      <c r="D34" t="s">
        <v>78</v>
      </c>
      <c r="E34" s="15">
        <v>5350</v>
      </c>
      <c r="F34" s="15">
        <v>152.31</v>
      </c>
      <c r="G34" s="15">
        <f t="shared" si="19"/>
        <v>5502.31</v>
      </c>
      <c r="H34" s="15">
        <v>0</v>
      </c>
      <c r="I34" s="15">
        <v>588.20000000000005</v>
      </c>
      <c r="J34" s="15">
        <v>0</v>
      </c>
      <c r="K34" s="15">
        <v>0</v>
      </c>
      <c r="L34" s="15">
        <f t="shared" si="20"/>
        <v>561.75</v>
      </c>
      <c r="M34" s="15">
        <f t="shared" si="16"/>
        <v>1149.95</v>
      </c>
      <c r="N34" s="18">
        <f t="shared" si="17"/>
        <v>4352.3600000000006</v>
      </c>
      <c r="O34" s="10">
        <v>510.86</v>
      </c>
      <c r="P34" s="10">
        <v>882.75</v>
      </c>
      <c r="Q34" s="35">
        <f t="shared" si="18"/>
        <v>1393.6100000000001</v>
      </c>
    </row>
    <row r="35" spans="1:17" x14ac:dyDescent="0.25">
      <c r="B35" t="s">
        <v>125</v>
      </c>
      <c r="C35" t="s">
        <v>104</v>
      </c>
      <c r="D35" t="s">
        <v>78</v>
      </c>
      <c r="E35" s="15">
        <v>5350</v>
      </c>
      <c r="F35" s="15">
        <v>152.31</v>
      </c>
      <c r="G35" s="15">
        <f t="shared" si="19"/>
        <v>5502.31</v>
      </c>
      <c r="H35" s="15">
        <v>0</v>
      </c>
      <c r="I35" s="15">
        <v>588.20000000000005</v>
      </c>
      <c r="J35" s="15">
        <v>0</v>
      </c>
      <c r="K35" s="15">
        <v>0</v>
      </c>
      <c r="L35" s="15">
        <f t="shared" si="20"/>
        <v>561.75</v>
      </c>
      <c r="M35" s="15">
        <f t="shared" si="16"/>
        <v>1149.95</v>
      </c>
      <c r="N35" s="18">
        <f t="shared" si="17"/>
        <v>4352.3600000000006</v>
      </c>
      <c r="O35" s="10">
        <v>510.86</v>
      </c>
      <c r="P35" s="10">
        <v>882.75</v>
      </c>
      <c r="Q35" s="35">
        <f t="shared" si="18"/>
        <v>1393.6100000000001</v>
      </c>
    </row>
    <row r="36" spans="1:17" x14ac:dyDescent="0.25">
      <c r="B36" t="s">
        <v>126</v>
      </c>
      <c r="C36" t="s">
        <v>94</v>
      </c>
      <c r="D36" t="s">
        <v>81</v>
      </c>
      <c r="E36" s="15">
        <v>5350</v>
      </c>
      <c r="F36" s="15">
        <v>152.31</v>
      </c>
      <c r="G36" s="15">
        <f t="shared" si="19"/>
        <v>5502.31</v>
      </c>
      <c r="H36" s="15">
        <v>0</v>
      </c>
      <c r="I36" s="15">
        <v>588.20000000000005</v>
      </c>
      <c r="J36" s="15">
        <v>0</v>
      </c>
      <c r="K36" s="15">
        <v>0</v>
      </c>
      <c r="L36" s="15">
        <f t="shared" si="20"/>
        <v>561.75</v>
      </c>
      <c r="M36" s="15">
        <f t="shared" si="16"/>
        <v>1149.95</v>
      </c>
      <c r="N36" s="18">
        <f t="shared" si="17"/>
        <v>4352.3600000000006</v>
      </c>
      <c r="O36" s="10">
        <v>510.86</v>
      </c>
      <c r="P36" s="10">
        <v>882.75</v>
      </c>
      <c r="Q36" s="35">
        <f t="shared" si="18"/>
        <v>1393.6100000000001</v>
      </c>
    </row>
    <row r="37" spans="1:17" x14ac:dyDescent="0.25">
      <c r="B37" t="s">
        <v>127</v>
      </c>
      <c r="C37" t="s">
        <v>98</v>
      </c>
      <c r="D37" t="s">
        <v>81</v>
      </c>
      <c r="E37" s="15">
        <v>5350</v>
      </c>
      <c r="F37" s="15">
        <v>152.31</v>
      </c>
      <c r="G37" s="15">
        <f t="shared" si="19"/>
        <v>5502.31</v>
      </c>
      <c r="H37" s="15">
        <v>0</v>
      </c>
      <c r="I37" s="15">
        <v>588.20000000000005</v>
      </c>
      <c r="J37" s="15">
        <v>0</v>
      </c>
      <c r="K37" s="15">
        <v>0</v>
      </c>
      <c r="L37" s="15">
        <f t="shared" si="20"/>
        <v>561.75</v>
      </c>
      <c r="M37" s="15">
        <f t="shared" si="16"/>
        <v>1149.95</v>
      </c>
      <c r="N37" s="18">
        <f t="shared" si="17"/>
        <v>4352.3600000000006</v>
      </c>
      <c r="O37" s="10">
        <v>510.86</v>
      </c>
      <c r="P37" s="10">
        <v>882.75</v>
      </c>
      <c r="Q37" s="35">
        <f t="shared" si="18"/>
        <v>1393.6100000000001</v>
      </c>
    </row>
    <row r="38" spans="1:17" x14ac:dyDescent="0.25">
      <c r="B38" t="s">
        <v>128</v>
      </c>
      <c r="C38" t="s">
        <v>101</v>
      </c>
      <c r="D38" t="s">
        <v>81</v>
      </c>
      <c r="E38" s="15">
        <v>5350</v>
      </c>
      <c r="F38" s="15">
        <v>152.31</v>
      </c>
      <c r="G38" s="15">
        <f t="shared" si="19"/>
        <v>5502.31</v>
      </c>
      <c r="H38" s="15">
        <v>0</v>
      </c>
      <c r="I38" s="15">
        <v>588.20000000000005</v>
      </c>
      <c r="J38" s="15">
        <v>0</v>
      </c>
      <c r="K38" s="15">
        <v>0</v>
      </c>
      <c r="L38" s="15">
        <f t="shared" si="20"/>
        <v>561.75</v>
      </c>
      <c r="M38" s="15">
        <f t="shared" si="16"/>
        <v>1149.95</v>
      </c>
      <c r="N38" s="18">
        <f t="shared" si="17"/>
        <v>4352.3600000000006</v>
      </c>
      <c r="O38" s="10">
        <v>510.86</v>
      </c>
      <c r="P38" s="10">
        <v>882.75</v>
      </c>
      <c r="Q38" s="35">
        <f t="shared" si="18"/>
        <v>1393.6100000000001</v>
      </c>
    </row>
    <row r="39" spans="1:17" x14ac:dyDescent="0.25">
      <c r="B39" t="s">
        <v>129</v>
      </c>
      <c r="C39" t="s">
        <v>95</v>
      </c>
      <c r="D39" t="s">
        <v>82</v>
      </c>
      <c r="E39" s="15">
        <v>5350</v>
      </c>
      <c r="F39" s="15">
        <v>152.31</v>
      </c>
      <c r="G39" s="15">
        <f t="shared" si="19"/>
        <v>5502.31</v>
      </c>
      <c r="H39" s="15">
        <v>0</v>
      </c>
      <c r="I39" s="15">
        <v>588.20000000000005</v>
      </c>
      <c r="J39" s="15">
        <v>0</v>
      </c>
      <c r="K39" s="15">
        <v>0</v>
      </c>
      <c r="L39" s="15">
        <f t="shared" si="20"/>
        <v>561.75</v>
      </c>
      <c r="M39" s="15">
        <f t="shared" si="16"/>
        <v>1149.95</v>
      </c>
      <c r="N39" s="18">
        <f t="shared" si="17"/>
        <v>4352.3600000000006</v>
      </c>
      <c r="O39" s="10">
        <v>510.86</v>
      </c>
      <c r="P39" s="10">
        <v>882.75</v>
      </c>
      <c r="Q39" s="35">
        <f t="shared" si="18"/>
        <v>1393.6100000000001</v>
      </c>
    </row>
    <row r="40" spans="1:17" x14ac:dyDescent="0.25">
      <c r="B40" t="s">
        <v>130</v>
      </c>
      <c r="C40" t="s">
        <v>102</v>
      </c>
      <c r="D40" t="s">
        <v>82</v>
      </c>
      <c r="E40" s="15">
        <v>5350</v>
      </c>
      <c r="F40" s="15">
        <v>152.31</v>
      </c>
      <c r="G40" s="15">
        <f t="shared" si="19"/>
        <v>5502.31</v>
      </c>
      <c r="H40" s="15">
        <v>0</v>
      </c>
      <c r="I40" s="15">
        <v>588.20000000000005</v>
      </c>
      <c r="J40" s="15">
        <v>0</v>
      </c>
      <c r="K40" s="15">
        <v>0</v>
      </c>
      <c r="L40" s="15">
        <f t="shared" si="20"/>
        <v>561.75</v>
      </c>
      <c r="M40" s="15">
        <f t="shared" si="16"/>
        <v>1149.95</v>
      </c>
      <c r="N40" s="18">
        <f t="shared" si="17"/>
        <v>4352.3600000000006</v>
      </c>
      <c r="O40" s="10">
        <v>510.86</v>
      </c>
      <c r="P40" s="10">
        <v>882.75</v>
      </c>
      <c r="Q40" s="35">
        <f t="shared" si="18"/>
        <v>1393.6100000000001</v>
      </c>
    </row>
    <row r="41" spans="1:17" x14ac:dyDescent="0.25">
      <c r="B41" t="s">
        <v>131</v>
      </c>
      <c r="C41" t="s">
        <v>85</v>
      </c>
      <c r="D41" t="s">
        <v>83</v>
      </c>
      <c r="E41" s="15">
        <v>5350</v>
      </c>
      <c r="F41" s="15">
        <v>152.31</v>
      </c>
      <c r="G41" s="15">
        <f t="shared" si="19"/>
        <v>5502.31</v>
      </c>
      <c r="H41" s="15">
        <v>0</v>
      </c>
      <c r="I41" s="15">
        <v>588.20000000000005</v>
      </c>
      <c r="J41" s="15">
        <v>0</v>
      </c>
      <c r="K41" s="15">
        <v>0</v>
      </c>
      <c r="L41" s="15">
        <f t="shared" si="20"/>
        <v>561.75</v>
      </c>
      <c r="M41" s="15">
        <f t="shared" si="16"/>
        <v>1149.95</v>
      </c>
      <c r="N41" s="18">
        <f t="shared" si="17"/>
        <v>4352.3600000000006</v>
      </c>
      <c r="O41" s="10">
        <v>510.86</v>
      </c>
      <c r="P41" s="10">
        <v>882.75</v>
      </c>
      <c r="Q41" s="35">
        <f t="shared" si="18"/>
        <v>1393.6100000000001</v>
      </c>
    </row>
    <row r="42" spans="1:17" x14ac:dyDescent="0.25">
      <c r="B42" t="s">
        <v>132</v>
      </c>
      <c r="C42" t="s">
        <v>103</v>
      </c>
      <c r="D42" t="s">
        <v>83</v>
      </c>
      <c r="E42" s="15">
        <v>5350</v>
      </c>
      <c r="F42" s="15">
        <v>152.31</v>
      </c>
      <c r="G42" s="15">
        <f t="shared" si="19"/>
        <v>5502.31</v>
      </c>
      <c r="H42" s="15">
        <v>0</v>
      </c>
      <c r="I42" s="15">
        <v>588.20000000000005</v>
      </c>
      <c r="J42" s="15">
        <v>0</v>
      </c>
      <c r="K42" s="15">
        <v>0</v>
      </c>
      <c r="L42" s="15">
        <f t="shared" si="20"/>
        <v>561.75</v>
      </c>
      <c r="M42" s="15">
        <f t="shared" si="16"/>
        <v>1149.95</v>
      </c>
      <c r="N42" s="18">
        <f t="shared" si="17"/>
        <v>4352.3600000000006</v>
      </c>
      <c r="O42" s="10">
        <v>510.86</v>
      </c>
      <c r="P42" s="10">
        <v>882.75</v>
      </c>
      <c r="Q42" s="35">
        <f t="shared" si="18"/>
        <v>1393.6100000000001</v>
      </c>
    </row>
    <row r="43" spans="1:17" x14ac:dyDescent="0.25">
      <c r="A43" t="s">
        <v>138</v>
      </c>
      <c r="B43" s="2" t="s">
        <v>26</v>
      </c>
      <c r="E43" s="34">
        <f>SUM(E32:E42)</f>
        <v>58850</v>
      </c>
      <c r="F43" s="34">
        <f>SUM(F32:F42)</f>
        <v>1675.4099999999996</v>
      </c>
      <c r="G43" s="34">
        <f>SUM(G32:G42)</f>
        <v>60525.409999999989</v>
      </c>
      <c r="H43" s="34">
        <f t="shared" ref="H43:Q43" si="21">SUM(H32:H42)</f>
        <v>0</v>
      </c>
      <c r="I43" s="34">
        <f t="shared" si="21"/>
        <v>6470.1999999999989</v>
      </c>
      <c r="J43" s="34">
        <f t="shared" si="21"/>
        <v>0</v>
      </c>
      <c r="K43" s="34">
        <f t="shared" si="21"/>
        <v>0</v>
      </c>
      <c r="L43" s="34">
        <f t="shared" si="21"/>
        <v>6179.25</v>
      </c>
      <c r="M43" s="34">
        <f t="shared" si="21"/>
        <v>12649.450000000003</v>
      </c>
      <c r="N43" s="34">
        <f t="shared" si="21"/>
        <v>47875.960000000006</v>
      </c>
      <c r="O43" s="34">
        <f t="shared" si="21"/>
        <v>5619.46</v>
      </c>
      <c r="P43" s="34">
        <f t="shared" si="21"/>
        <v>9710.25</v>
      </c>
      <c r="Q43" s="34">
        <f t="shared" si="21"/>
        <v>15329.710000000005</v>
      </c>
    </row>
    <row r="45" spans="1:17" x14ac:dyDescent="0.25">
      <c r="B45" s="2" t="s">
        <v>140</v>
      </c>
      <c r="C45" s="2" t="s">
        <v>64</v>
      </c>
    </row>
    <row r="46" spans="1:17" x14ac:dyDescent="0.25">
      <c r="B46" t="s">
        <v>133</v>
      </c>
      <c r="C46" t="s">
        <v>99</v>
      </c>
      <c r="D46" t="s">
        <v>80</v>
      </c>
      <c r="E46" s="15">
        <v>5350</v>
      </c>
      <c r="F46" s="15">
        <v>152.31</v>
      </c>
      <c r="G46" s="15">
        <f>E46+F46</f>
        <v>5502.31</v>
      </c>
      <c r="H46" s="15">
        <v>0</v>
      </c>
      <c r="I46" s="15">
        <v>588.20000000000005</v>
      </c>
      <c r="J46" s="15">
        <v>0</v>
      </c>
      <c r="K46" s="15">
        <v>0</v>
      </c>
      <c r="L46" s="15">
        <f>E46*0.105</f>
        <v>561.75</v>
      </c>
      <c r="M46" s="15">
        <f>SUM(H46:L46)</f>
        <v>1149.95</v>
      </c>
      <c r="N46" s="18">
        <f>G46-M46</f>
        <v>4352.3600000000006</v>
      </c>
      <c r="O46" s="10">
        <v>510.86</v>
      </c>
      <c r="P46" s="10">
        <v>882.75</v>
      </c>
      <c r="Q46" s="35">
        <f t="shared" ref="Q46" si="22">O46+P46</f>
        <v>1393.6100000000001</v>
      </c>
    </row>
    <row r="47" spans="1:17" x14ac:dyDescent="0.25">
      <c r="A47" t="s">
        <v>139</v>
      </c>
      <c r="B47" s="2" t="s">
        <v>26</v>
      </c>
      <c r="E47" s="34">
        <f>E46</f>
        <v>5350</v>
      </c>
      <c r="F47" s="34">
        <f>F46</f>
        <v>152.31</v>
      </c>
      <c r="G47" s="34">
        <f>G46</f>
        <v>5502.31</v>
      </c>
      <c r="H47" s="34">
        <f t="shared" ref="H47:Q47" si="23">H46</f>
        <v>0</v>
      </c>
      <c r="I47" s="34">
        <f t="shared" si="23"/>
        <v>588.20000000000005</v>
      </c>
      <c r="J47" s="34">
        <f t="shared" si="23"/>
        <v>0</v>
      </c>
      <c r="K47" s="34">
        <f t="shared" si="23"/>
        <v>0</v>
      </c>
      <c r="L47" s="34">
        <f t="shared" si="23"/>
        <v>561.75</v>
      </c>
      <c r="M47" s="34">
        <f t="shared" si="23"/>
        <v>1149.95</v>
      </c>
      <c r="N47" s="34">
        <f t="shared" si="23"/>
        <v>4352.3600000000006</v>
      </c>
      <c r="O47" s="34">
        <f t="shared" si="23"/>
        <v>510.86</v>
      </c>
      <c r="P47" s="34">
        <f t="shared" si="23"/>
        <v>882.75</v>
      </c>
      <c r="Q47" s="34">
        <f t="shared" si="23"/>
        <v>1393.6100000000001</v>
      </c>
    </row>
    <row r="49" spans="2:17" x14ac:dyDescent="0.25">
      <c r="B49" s="2"/>
    </row>
    <row r="51" spans="2:17" x14ac:dyDescent="0.25">
      <c r="B51" s="2"/>
      <c r="G51" s="16"/>
      <c r="H51" s="16"/>
      <c r="I51" s="16"/>
      <c r="J51" s="16"/>
      <c r="K51" s="16"/>
      <c r="L51" s="16"/>
      <c r="M51" s="16"/>
      <c r="N51" s="16"/>
      <c r="O51" s="8"/>
      <c r="P51" s="8"/>
      <c r="Q51" s="8"/>
    </row>
    <row r="53" spans="2:17" ht="18.75" x14ac:dyDescent="0.3">
      <c r="D53" s="4" t="s">
        <v>105</v>
      </c>
      <c r="E53" s="17">
        <f>E8+E19+E24+E29+E43+E47+E51</f>
        <v>148754.95000000001</v>
      </c>
      <c r="F53" s="17">
        <f t="shared" ref="F53:Q53" si="24">F8+F19+F24+F29+F43+F47+F51</f>
        <v>3387.6949999999993</v>
      </c>
      <c r="G53" s="17">
        <f t="shared" si="24"/>
        <v>152142.64499999999</v>
      </c>
      <c r="H53" s="17">
        <f t="shared" si="24"/>
        <v>0</v>
      </c>
      <c r="I53" s="17">
        <f t="shared" si="24"/>
        <v>18412.899999999998</v>
      </c>
      <c r="J53" s="17">
        <f t="shared" si="24"/>
        <v>0</v>
      </c>
      <c r="K53" s="17">
        <f t="shared" si="24"/>
        <v>0</v>
      </c>
      <c r="L53" s="17">
        <f t="shared" si="24"/>
        <v>15619.269749999999</v>
      </c>
      <c r="M53" s="17">
        <f t="shared" si="24"/>
        <v>34032.169750000001</v>
      </c>
      <c r="N53" s="17">
        <f t="shared" si="24"/>
        <v>118110.47525</v>
      </c>
      <c r="O53" s="17">
        <f t="shared" si="24"/>
        <v>13693.28</v>
      </c>
      <c r="P53" s="17">
        <f t="shared" si="24"/>
        <v>24544.559999999998</v>
      </c>
      <c r="Q53" s="17">
        <f t="shared" si="24"/>
        <v>38237.840000000011</v>
      </c>
    </row>
    <row r="55" spans="2:17" ht="18.75" x14ac:dyDescent="0.3">
      <c r="G55" s="20"/>
      <c r="N55" s="17"/>
    </row>
    <row r="56" spans="2:17" x14ac:dyDescent="0.25">
      <c r="C56" s="33"/>
    </row>
  </sheetData>
  <mergeCells count="1">
    <mergeCell ref="E2:Q2"/>
  </mergeCells>
  <pageMargins left="0.51181102362204722" right="0.51181102362204722" top="0.55118110236220474" bottom="0.55118110236220474" header="0.31496062992125984" footer="0.31496062992125984"/>
  <pageSetup fitToHeight="0" orientation="portrait" r:id="rId1"/>
  <ignoredErrors>
    <ignoredError sqref="M13:N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>
      <pane xSplit="4" ySplit="3" topLeftCell="E4" activePane="bottomRight" state="frozen"/>
      <selection activeCell="F58" sqref="F58"/>
      <selection pane="topRight" activeCell="F58" sqref="F58"/>
      <selection pane="bottomLeft" activeCell="F58" sqref="F58"/>
      <selection pane="bottomRight" activeCell="D6" sqref="D6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style="15" customWidth="1"/>
    <col min="6" max="6" width="14.42578125" style="15" customWidth="1"/>
    <col min="7" max="7" width="17.28515625" style="15" customWidth="1"/>
    <col min="8" max="8" width="11.42578125" style="15" customWidth="1"/>
    <col min="9" max="10" width="12.85546875" style="15" customWidth="1"/>
    <col min="11" max="12" width="11.42578125" style="15" customWidth="1"/>
    <col min="13" max="13" width="16" style="15" customWidth="1"/>
    <col min="14" max="14" width="17.42578125" style="15" customWidth="1"/>
    <col min="15" max="15" width="20.140625" style="15" customWidth="1"/>
    <col min="16" max="16" width="17.85546875" customWidth="1"/>
    <col min="17" max="17" width="18.5703125" customWidth="1"/>
    <col min="18" max="18" width="19.28515625" customWidth="1"/>
    <col min="19" max="19" width="11.42578125" customWidth="1"/>
  </cols>
  <sheetData>
    <row r="1" spans="1:19" ht="18.75" x14ac:dyDescent="0.25">
      <c r="C1" s="86" t="s">
        <v>142</v>
      </c>
      <c r="D1" s="86"/>
    </row>
    <row r="2" spans="1:19" ht="15.75" thickBot="1" x14ac:dyDescent="0.3"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9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50" t="s">
        <v>113</v>
      </c>
      <c r="G3" s="49" t="s">
        <v>12</v>
      </c>
      <c r="H3" s="49" t="s">
        <v>107</v>
      </c>
      <c r="I3" s="49" t="s">
        <v>143</v>
      </c>
      <c r="J3" s="49" t="s">
        <v>13</v>
      </c>
      <c r="K3" s="49" t="s">
        <v>15</v>
      </c>
      <c r="L3" s="49" t="s">
        <v>106</v>
      </c>
      <c r="M3" s="49" t="s">
        <v>16</v>
      </c>
      <c r="N3" s="49" t="s">
        <v>17</v>
      </c>
      <c r="O3" s="49" t="s">
        <v>72</v>
      </c>
      <c r="P3" s="48" t="s">
        <v>8</v>
      </c>
      <c r="Q3" s="48" t="s">
        <v>18</v>
      </c>
      <c r="R3" s="51" t="s">
        <v>73</v>
      </c>
      <c r="S3" s="14"/>
    </row>
    <row r="4" spans="1:19" ht="15.75" thickTop="1" x14ac:dyDescent="0.25">
      <c r="B4" s="2" t="s">
        <v>19</v>
      </c>
      <c r="C4" s="2" t="s">
        <v>20</v>
      </c>
      <c r="D4" s="2"/>
    </row>
    <row r="5" spans="1:19" x14ac:dyDescent="0.25">
      <c r="B5" t="s">
        <v>21</v>
      </c>
      <c r="C5" s="11" t="s">
        <v>22</v>
      </c>
      <c r="D5" t="s">
        <v>25</v>
      </c>
      <c r="E5" s="15">
        <v>16954.95</v>
      </c>
      <c r="F5" s="15">
        <v>0</v>
      </c>
      <c r="G5" s="15">
        <f>E5+F5</f>
        <v>16954.95</v>
      </c>
      <c r="H5" s="15">
        <v>0</v>
      </c>
      <c r="I5" s="15">
        <v>3246.93</v>
      </c>
      <c r="J5" s="15">
        <f>I5-H5</f>
        <v>3246.93</v>
      </c>
      <c r="K5" s="15">
        <v>0</v>
      </c>
      <c r="L5" s="15">
        <v>0</v>
      </c>
      <c r="M5" s="15">
        <f>E5*0.105</f>
        <v>1780.2697499999999</v>
      </c>
      <c r="N5" s="15">
        <f>SUM(J5:M5)</f>
        <v>5027.1997499999998</v>
      </c>
      <c r="O5" s="18">
        <f>G5-N5</f>
        <v>11927.750250000001</v>
      </c>
      <c r="P5" s="10">
        <v>1223.77</v>
      </c>
      <c r="Q5" s="10">
        <v>2797.56</v>
      </c>
      <c r="R5" s="35">
        <f>SUM(P5:Q5)</f>
        <v>4021.33</v>
      </c>
    </row>
    <row r="6" spans="1:19" x14ac:dyDescent="0.25">
      <c r="B6" t="s">
        <v>23</v>
      </c>
      <c r="C6" s="11" t="s">
        <v>24</v>
      </c>
      <c r="D6" t="s">
        <v>3</v>
      </c>
      <c r="E6" s="15">
        <v>4850</v>
      </c>
      <c r="F6" s="15">
        <v>0</v>
      </c>
      <c r="G6" s="15">
        <f>E6+F6</f>
        <v>4850</v>
      </c>
      <c r="H6" s="15">
        <v>0</v>
      </c>
      <c r="I6" s="15">
        <v>491.69</v>
      </c>
      <c r="J6" s="15">
        <f>I6-H6</f>
        <v>491.69</v>
      </c>
      <c r="K6" s="15">
        <v>0</v>
      </c>
      <c r="L6" s="15">
        <v>0</v>
      </c>
      <c r="M6" s="15">
        <f>E6*0.105</f>
        <v>509.25</v>
      </c>
      <c r="N6" s="15">
        <f>SUM(J6:M6)</f>
        <v>1000.94</v>
      </c>
      <c r="O6" s="18">
        <f>G6-N6</f>
        <v>3849.06</v>
      </c>
      <c r="P6" s="10">
        <v>480.14</v>
      </c>
      <c r="Q6" s="10">
        <v>800.25</v>
      </c>
      <c r="R6" s="35">
        <f t="shared" ref="R6:R7" si="0">SUM(P6:Q6)</f>
        <v>1280.3899999999999</v>
      </c>
    </row>
    <row r="7" spans="1:19" x14ac:dyDescent="0.25">
      <c r="B7" t="s">
        <v>41</v>
      </c>
      <c r="C7" s="11" t="s">
        <v>42</v>
      </c>
      <c r="D7" t="s">
        <v>2</v>
      </c>
      <c r="E7" s="15">
        <v>10000</v>
      </c>
      <c r="F7" s="15">
        <v>0</v>
      </c>
      <c r="G7" s="15">
        <f>E7+F7</f>
        <v>10000</v>
      </c>
      <c r="H7" s="15">
        <v>0</v>
      </c>
      <c r="I7" s="15">
        <v>1581.44</v>
      </c>
      <c r="J7" s="15">
        <f>I7-H7</f>
        <v>1581.44</v>
      </c>
      <c r="K7" s="15">
        <v>0</v>
      </c>
      <c r="L7" s="15">
        <v>0</v>
      </c>
      <c r="M7" s="15">
        <f>E7*0.105</f>
        <v>1050</v>
      </c>
      <c r="N7" s="15">
        <f>SUM(J7:M7)</f>
        <v>2631.44</v>
      </c>
      <c r="O7" s="18">
        <f>G7-N7</f>
        <v>7368.5599999999995</v>
      </c>
      <c r="P7" s="10">
        <v>796.52</v>
      </c>
      <c r="Q7" s="10">
        <v>1650</v>
      </c>
      <c r="R7" s="35">
        <f t="shared" si="0"/>
        <v>2446.52</v>
      </c>
    </row>
    <row r="8" spans="1:19" x14ac:dyDescent="0.25">
      <c r="A8" t="s">
        <v>135</v>
      </c>
      <c r="B8" s="7" t="s">
        <v>26</v>
      </c>
      <c r="E8" s="34">
        <f t="shared" ref="E8:R8" si="1">SUM(E5:E7)</f>
        <v>31804.95</v>
      </c>
      <c r="F8" s="34">
        <f t="shared" si="1"/>
        <v>0</v>
      </c>
      <c r="G8" s="34">
        <f t="shared" si="1"/>
        <v>31804.95</v>
      </c>
      <c r="H8" s="34">
        <f t="shared" si="1"/>
        <v>0</v>
      </c>
      <c r="I8" s="34">
        <f t="shared" si="1"/>
        <v>5320.0599999999995</v>
      </c>
      <c r="J8" s="34">
        <f t="shared" si="1"/>
        <v>5320.0599999999995</v>
      </c>
      <c r="K8" s="34">
        <f t="shared" si="1"/>
        <v>0</v>
      </c>
      <c r="L8" s="34">
        <f t="shared" si="1"/>
        <v>0</v>
      </c>
      <c r="M8" s="34">
        <f t="shared" si="1"/>
        <v>3339.5197499999999</v>
      </c>
      <c r="N8" s="34">
        <f t="shared" si="1"/>
        <v>8659.5797500000008</v>
      </c>
      <c r="O8" s="34">
        <f t="shared" si="1"/>
        <v>23145.37025</v>
      </c>
      <c r="P8" s="34">
        <f t="shared" si="1"/>
        <v>2500.4299999999998</v>
      </c>
      <c r="Q8" s="34">
        <f t="shared" si="1"/>
        <v>5247.8099999999995</v>
      </c>
      <c r="R8" s="34">
        <f t="shared" si="1"/>
        <v>7748.24</v>
      </c>
    </row>
    <row r="10" spans="1:19" x14ac:dyDescent="0.25">
      <c r="B10" s="2" t="s">
        <v>27</v>
      </c>
      <c r="C10" s="2" t="s">
        <v>28</v>
      </c>
    </row>
    <row r="11" spans="1:19" x14ac:dyDescent="0.25">
      <c r="B11" t="s">
        <v>32</v>
      </c>
      <c r="C11" s="11" t="s">
        <v>37</v>
      </c>
      <c r="D11" t="s">
        <v>1</v>
      </c>
      <c r="E11" s="15">
        <v>10000</v>
      </c>
      <c r="F11" s="15">
        <v>0</v>
      </c>
      <c r="G11" s="15">
        <f t="shared" ref="G11:G18" si="2">E11+F11</f>
        <v>10000</v>
      </c>
      <c r="H11" s="15">
        <v>0</v>
      </c>
      <c r="I11" s="15">
        <v>1581.44</v>
      </c>
      <c r="J11" s="15">
        <f t="shared" ref="J11:J18" si="3">I11-H11</f>
        <v>1581.44</v>
      </c>
      <c r="K11" s="15">
        <v>0</v>
      </c>
      <c r="L11" s="15">
        <v>0</v>
      </c>
      <c r="M11" s="15">
        <f t="shared" ref="M11:M18" si="4">E11*0.105</f>
        <v>1050</v>
      </c>
      <c r="N11" s="15">
        <f t="shared" ref="N11:N18" si="5">SUM(J11:M11)</f>
        <v>2631.44</v>
      </c>
      <c r="O11" s="18">
        <f t="shared" ref="O11:O18" si="6">G11-N11</f>
        <v>7368.5599999999995</v>
      </c>
      <c r="P11" s="10">
        <v>796.52</v>
      </c>
      <c r="Q11" s="10">
        <v>1650</v>
      </c>
      <c r="R11" s="35">
        <f>P11+Q11</f>
        <v>2446.52</v>
      </c>
    </row>
    <row r="12" spans="1:19" x14ac:dyDescent="0.25">
      <c r="B12" t="s">
        <v>33</v>
      </c>
      <c r="C12" s="11" t="s">
        <v>38</v>
      </c>
      <c r="D12" t="s">
        <v>74</v>
      </c>
      <c r="E12" s="15">
        <v>5350</v>
      </c>
      <c r="F12" s="19">
        <v>0</v>
      </c>
      <c r="G12" s="15">
        <f t="shared" si="2"/>
        <v>5350</v>
      </c>
      <c r="H12" s="15">
        <v>0</v>
      </c>
      <c r="I12" s="15">
        <v>588.20000000000005</v>
      </c>
      <c r="J12" s="15">
        <f t="shared" si="3"/>
        <v>588.20000000000005</v>
      </c>
      <c r="K12" s="15">
        <v>0</v>
      </c>
      <c r="L12" s="15">
        <v>0</v>
      </c>
      <c r="M12" s="15">
        <f t="shared" si="4"/>
        <v>561.75</v>
      </c>
      <c r="N12" s="15">
        <f t="shared" si="5"/>
        <v>1149.95</v>
      </c>
      <c r="O12" s="18">
        <f t="shared" si="6"/>
        <v>4200.05</v>
      </c>
      <c r="P12" s="10">
        <v>510.86</v>
      </c>
      <c r="Q12" s="10">
        <v>882.75</v>
      </c>
      <c r="R12" s="35">
        <f>P12+Q12</f>
        <v>1393.6100000000001</v>
      </c>
    </row>
    <row r="13" spans="1:19" x14ac:dyDescent="0.25">
      <c r="B13" t="s">
        <v>34</v>
      </c>
      <c r="C13" t="s">
        <v>141</v>
      </c>
      <c r="D13" t="s">
        <v>75</v>
      </c>
      <c r="E13" s="21">
        <v>5350</v>
      </c>
      <c r="F13" s="3">
        <v>0</v>
      </c>
      <c r="G13" s="15">
        <f t="shared" si="2"/>
        <v>5350</v>
      </c>
      <c r="H13" s="3">
        <v>0</v>
      </c>
      <c r="I13" s="3">
        <v>588.20000000000005</v>
      </c>
      <c r="J13" s="15">
        <f t="shared" si="3"/>
        <v>588.20000000000005</v>
      </c>
      <c r="K13" s="3">
        <v>0</v>
      </c>
      <c r="L13" s="3">
        <v>0</v>
      </c>
      <c r="M13" s="15">
        <f t="shared" si="4"/>
        <v>561.75</v>
      </c>
      <c r="N13" s="15">
        <f t="shared" si="5"/>
        <v>1149.95</v>
      </c>
      <c r="O13" s="18">
        <f t="shared" si="6"/>
        <v>4200.05</v>
      </c>
      <c r="P13" s="27">
        <v>510.86</v>
      </c>
      <c r="Q13" s="27">
        <v>882.75</v>
      </c>
      <c r="R13" s="35">
        <f>P13+Q13</f>
        <v>1393.6100000000001</v>
      </c>
    </row>
    <row r="14" spans="1:19" x14ac:dyDescent="0.25">
      <c r="B14" t="s">
        <v>35</v>
      </c>
      <c r="C14" t="s">
        <v>111</v>
      </c>
      <c r="D14" t="s">
        <v>77</v>
      </c>
      <c r="E14" s="15">
        <v>6000</v>
      </c>
      <c r="F14" s="15">
        <v>0</v>
      </c>
      <c r="G14" s="15">
        <f t="shared" si="2"/>
        <v>6000</v>
      </c>
      <c r="H14" s="15">
        <v>0</v>
      </c>
      <c r="I14" s="15">
        <v>727.04</v>
      </c>
      <c r="J14" s="15">
        <f t="shared" si="3"/>
        <v>727.04</v>
      </c>
      <c r="K14" s="15">
        <v>0</v>
      </c>
      <c r="L14" s="15">
        <v>0</v>
      </c>
      <c r="M14" s="15">
        <f t="shared" si="4"/>
        <v>630</v>
      </c>
      <c r="N14" s="15">
        <f t="shared" si="5"/>
        <v>1357.04</v>
      </c>
      <c r="O14" s="18">
        <f t="shared" si="6"/>
        <v>4642.96</v>
      </c>
      <c r="P14" s="10">
        <v>550.79</v>
      </c>
      <c r="Q14" s="10">
        <v>990</v>
      </c>
      <c r="R14" s="35">
        <f>P14+Q14</f>
        <v>1540.79</v>
      </c>
    </row>
    <row r="15" spans="1:19" x14ac:dyDescent="0.25">
      <c r="B15" t="s">
        <v>36</v>
      </c>
      <c r="C15" t="s">
        <v>86</v>
      </c>
      <c r="D15" t="s">
        <v>39</v>
      </c>
      <c r="E15" s="15">
        <v>4500</v>
      </c>
      <c r="F15" s="15">
        <v>0</v>
      </c>
      <c r="G15" s="15">
        <f t="shared" si="2"/>
        <v>4500</v>
      </c>
      <c r="H15" s="15">
        <v>0</v>
      </c>
      <c r="I15" s="15">
        <v>428.97</v>
      </c>
      <c r="J15" s="15">
        <f t="shared" si="3"/>
        <v>428.97</v>
      </c>
      <c r="K15" s="15">
        <v>0</v>
      </c>
      <c r="L15" s="15">
        <v>0</v>
      </c>
      <c r="M15" s="15">
        <f t="shared" si="4"/>
        <v>472.5</v>
      </c>
      <c r="N15" s="15">
        <f t="shared" si="5"/>
        <v>901.47</v>
      </c>
      <c r="O15" s="18">
        <f t="shared" si="6"/>
        <v>3598.5299999999997</v>
      </c>
      <c r="P15" s="10">
        <v>489.36</v>
      </c>
      <c r="Q15" s="10">
        <v>825</v>
      </c>
      <c r="R15" s="35">
        <f>P15+Q15</f>
        <v>1314.3600000000001</v>
      </c>
    </row>
    <row r="16" spans="1:19" x14ac:dyDescent="0.25">
      <c r="B16" t="s">
        <v>115</v>
      </c>
      <c r="C16" t="s">
        <v>87</v>
      </c>
      <c r="D16" t="s">
        <v>39</v>
      </c>
      <c r="E16" s="15">
        <v>4500</v>
      </c>
      <c r="F16" s="15">
        <v>0</v>
      </c>
      <c r="G16" s="15">
        <f t="shared" si="2"/>
        <v>4500</v>
      </c>
      <c r="H16" s="15">
        <v>0</v>
      </c>
      <c r="I16" s="15">
        <v>428.97</v>
      </c>
      <c r="J16" s="15">
        <f t="shared" si="3"/>
        <v>428.97</v>
      </c>
      <c r="K16" s="15">
        <v>0</v>
      </c>
      <c r="L16" s="15">
        <v>0</v>
      </c>
      <c r="M16" s="15">
        <f t="shared" si="4"/>
        <v>472.5</v>
      </c>
      <c r="N16" s="15">
        <f t="shared" si="5"/>
        <v>901.47</v>
      </c>
      <c r="O16" s="18">
        <f t="shared" si="6"/>
        <v>3598.5299999999997</v>
      </c>
      <c r="P16" s="10">
        <v>458.64</v>
      </c>
      <c r="Q16" s="10">
        <v>742.5</v>
      </c>
      <c r="R16" s="35">
        <f t="shared" ref="R16:R18" si="7">P16+Q16</f>
        <v>1201.1399999999999</v>
      </c>
    </row>
    <row r="17" spans="1:18" x14ac:dyDescent="0.25">
      <c r="B17" t="s">
        <v>116</v>
      </c>
      <c r="C17" t="s">
        <v>89</v>
      </c>
      <c r="D17" t="s">
        <v>4</v>
      </c>
      <c r="E17" s="15">
        <v>2700</v>
      </c>
      <c r="F17" s="15">
        <v>0</v>
      </c>
      <c r="G17" s="15">
        <f t="shared" si="2"/>
        <v>2700</v>
      </c>
      <c r="H17" s="15">
        <v>147.32</v>
      </c>
      <c r="I17" s="15">
        <v>188.33</v>
      </c>
      <c r="J17" s="15">
        <f t="shared" si="3"/>
        <v>41.010000000000019</v>
      </c>
      <c r="K17" s="15">
        <v>0</v>
      </c>
      <c r="L17" s="15">
        <v>0</v>
      </c>
      <c r="M17" s="15">
        <f t="shared" si="4"/>
        <v>283.5</v>
      </c>
      <c r="N17" s="15">
        <f t="shared" si="5"/>
        <v>324.51</v>
      </c>
      <c r="O17" s="18">
        <f t="shared" si="6"/>
        <v>2375.4899999999998</v>
      </c>
      <c r="P17" s="10">
        <v>348.07</v>
      </c>
      <c r="Q17" s="10">
        <v>445.5</v>
      </c>
      <c r="R17" s="35">
        <f t="shared" si="7"/>
        <v>793.56999999999994</v>
      </c>
    </row>
    <row r="18" spans="1:18" x14ac:dyDescent="0.25">
      <c r="B18" t="s">
        <v>117</v>
      </c>
      <c r="C18" t="s">
        <v>88</v>
      </c>
      <c r="D18" t="s">
        <v>40</v>
      </c>
      <c r="E18" s="15">
        <v>3150</v>
      </c>
      <c r="F18" s="15">
        <v>0</v>
      </c>
      <c r="G18" s="15">
        <f t="shared" si="2"/>
        <v>3150</v>
      </c>
      <c r="H18" s="15">
        <v>126.77</v>
      </c>
      <c r="I18" s="15">
        <v>237.29</v>
      </c>
      <c r="J18" s="15">
        <f t="shared" si="3"/>
        <v>110.52</v>
      </c>
      <c r="K18" s="15">
        <v>0</v>
      </c>
      <c r="L18" s="15">
        <v>0</v>
      </c>
      <c r="M18" s="15">
        <f t="shared" si="4"/>
        <v>330.75</v>
      </c>
      <c r="N18" s="15">
        <f t="shared" si="5"/>
        <v>441.27</v>
      </c>
      <c r="O18" s="18">
        <f t="shared" si="6"/>
        <v>2708.73</v>
      </c>
      <c r="P18" s="10">
        <v>375.71</v>
      </c>
      <c r="Q18" s="10">
        <v>519.75</v>
      </c>
      <c r="R18" s="35">
        <f t="shared" si="7"/>
        <v>895.46</v>
      </c>
    </row>
    <row r="19" spans="1:18" x14ac:dyDescent="0.25">
      <c r="A19" t="s">
        <v>136</v>
      </c>
      <c r="B19" s="2" t="s">
        <v>26</v>
      </c>
      <c r="E19" s="34">
        <f t="shared" ref="E19:R19" si="8">SUM(E11:E18)</f>
        <v>41550</v>
      </c>
      <c r="F19" s="34">
        <f t="shared" si="8"/>
        <v>0</v>
      </c>
      <c r="G19" s="34">
        <f t="shared" si="8"/>
        <v>41550</v>
      </c>
      <c r="H19" s="34">
        <f t="shared" si="8"/>
        <v>274.08999999999997</v>
      </c>
      <c r="I19" s="34">
        <f t="shared" si="8"/>
        <v>4768.4400000000005</v>
      </c>
      <c r="J19" s="34">
        <f t="shared" si="8"/>
        <v>4494.3500000000013</v>
      </c>
      <c r="K19" s="34">
        <f t="shared" si="8"/>
        <v>0</v>
      </c>
      <c r="L19" s="34">
        <f t="shared" si="8"/>
        <v>0</v>
      </c>
      <c r="M19" s="34">
        <f t="shared" si="8"/>
        <v>4362.75</v>
      </c>
      <c r="N19" s="34">
        <f t="shared" si="8"/>
        <v>8857.1</v>
      </c>
      <c r="O19" s="34">
        <f t="shared" si="8"/>
        <v>32692.899999999998</v>
      </c>
      <c r="P19" s="34">
        <f t="shared" si="8"/>
        <v>4040.8100000000004</v>
      </c>
      <c r="Q19" s="34">
        <f t="shared" si="8"/>
        <v>6938.25</v>
      </c>
      <c r="R19" s="34">
        <f t="shared" si="8"/>
        <v>10979.059999999998</v>
      </c>
    </row>
    <row r="20" spans="1:18" x14ac:dyDescent="0.25">
      <c r="B20" s="2"/>
    </row>
    <row r="21" spans="1:18" x14ac:dyDescent="0.25">
      <c r="B21" s="2" t="s">
        <v>43</v>
      </c>
      <c r="C21" s="2" t="s">
        <v>44</v>
      </c>
    </row>
    <row r="22" spans="1:18" x14ac:dyDescent="0.25">
      <c r="B22" t="s">
        <v>118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I22-H22</f>
        <v>0</v>
      </c>
      <c r="K22" s="15">
        <v>0</v>
      </c>
      <c r="L22" s="15">
        <v>0</v>
      </c>
      <c r="M22" s="15">
        <f>E22*0.105</f>
        <v>0</v>
      </c>
      <c r="N22" s="15">
        <f>SUM(J22:M22)</f>
        <v>0</v>
      </c>
      <c r="O22" s="18">
        <v>0</v>
      </c>
      <c r="P22" s="36">
        <v>0</v>
      </c>
      <c r="Q22" s="36">
        <v>0</v>
      </c>
      <c r="R22" s="37">
        <v>0</v>
      </c>
    </row>
    <row r="23" spans="1:18" x14ac:dyDescent="0.25">
      <c r="B23" t="s">
        <v>119</v>
      </c>
      <c r="C23" t="s">
        <v>91</v>
      </c>
      <c r="D23" t="s">
        <v>76</v>
      </c>
      <c r="E23" s="15">
        <v>5350</v>
      </c>
      <c r="F23" s="15">
        <v>0</v>
      </c>
      <c r="G23" s="15">
        <f>E23+F23</f>
        <v>5350</v>
      </c>
      <c r="H23" s="15">
        <v>0</v>
      </c>
      <c r="I23" s="15">
        <v>588.20000000000005</v>
      </c>
      <c r="J23" s="15">
        <f>I23-H23</f>
        <v>588.20000000000005</v>
      </c>
      <c r="K23" s="15">
        <v>0</v>
      </c>
      <c r="L23" s="15">
        <v>0</v>
      </c>
      <c r="M23" s="15">
        <f>E23*0.105</f>
        <v>561.75</v>
      </c>
      <c r="N23" s="15">
        <f>SUM(J23:M23)</f>
        <v>1149.95</v>
      </c>
      <c r="O23" s="18">
        <f>G23-N23</f>
        <v>4200.05</v>
      </c>
      <c r="P23" s="10">
        <v>510.86</v>
      </c>
      <c r="Q23" s="10">
        <v>882.75</v>
      </c>
      <c r="R23" s="35">
        <f>P23+Q23</f>
        <v>1393.6100000000001</v>
      </c>
    </row>
    <row r="24" spans="1:18" x14ac:dyDescent="0.25">
      <c r="A24" t="s">
        <v>134</v>
      </c>
      <c r="B24" s="2" t="s">
        <v>26</v>
      </c>
      <c r="E24" s="34">
        <f>SUM(E22:E23)</f>
        <v>5350</v>
      </c>
      <c r="F24" s="34">
        <f>F23</f>
        <v>0</v>
      </c>
      <c r="G24" s="34">
        <f t="shared" ref="G24:R24" si="9">SUM(G22:G23)</f>
        <v>5350</v>
      </c>
      <c r="H24" s="34">
        <f t="shared" si="9"/>
        <v>0</v>
      </c>
      <c r="I24" s="34">
        <f t="shared" si="9"/>
        <v>588.20000000000005</v>
      </c>
      <c r="J24" s="34">
        <f t="shared" si="9"/>
        <v>588.20000000000005</v>
      </c>
      <c r="K24" s="34">
        <f t="shared" si="9"/>
        <v>0</v>
      </c>
      <c r="L24" s="34">
        <f t="shared" si="9"/>
        <v>0</v>
      </c>
      <c r="M24" s="34">
        <f t="shared" si="9"/>
        <v>561.75</v>
      </c>
      <c r="N24" s="34">
        <f t="shared" si="9"/>
        <v>1149.95</v>
      </c>
      <c r="O24" s="34">
        <f t="shared" si="9"/>
        <v>4200.05</v>
      </c>
      <c r="P24" s="34">
        <f t="shared" si="9"/>
        <v>510.86</v>
      </c>
      <c r="Q24" s="34">
        <f t="shared" si="9"/>
        <v>882.75</v>
      </c>
      <c r="R24" s="34">
        <f t="shared" si="9"/>
        <v>1393.6100000000001</v>
      </c>
    </row>
    <row r="26" spans="1:18" x14ac:dyDescent="0.25">
      <c r="B26" s="2" t="s">
        <v>50</v>
      </c>
      <c r="C26" s="2" t="s">
        <v>47</v>
      </c>
    </row>
    <row r="27" spans="1:18" x14ac:dyDescent="0.25">
      <c r="B27" t="s">
        <v>120</v>
      </c>
      <c r="C27" t="s">
        <v>93</v>
      </c>
      <c r="D27" t="s">
        <v>78</v>
      </c>
      <c r="E27" s="15">
        <v>5350</v>
      </c>
      <c r="F27" s="15">
        <v>0</v>
      </c>
      <c r="G27" s="15">
        <f>E27+F27</f>
        <v>5350</v>
      </c>
      <c r="H27" s="15">
        <v>0</v>
      </c>
      <c r="I27" s="15">
        <v>588.20000000000005</v>
      </c>
      <c r="J27" s="15">
        <f>I27-H27</f>
        <v>588.20000000000005</v>
      </c>
      <c r="K27" s="15">
        <v>0</v>
      </c>
      <c r="L27" s="15">
        <v>0</v>
      </c>
      <c r="M27" s="15">
        <f>E27*0.105</f>
        <v>561.75</v>
      </c>
      <c r="N27" s="15">
        <f>SUM(J27:M27)</f>
        <v>1149.95</v>
      </c>
      <c r="O27" s="18">
        <f>G27-N27</f>
        <v>4200.05</v>
      </c>
      <c r="P27" s="10">
        <v>510.86</v>
      </c>
      <c r="Q27" s="10">
        <v>882.75</v>
      </c>
      <c r="R27" s="35">
        <f>P27+Q27</f>
        <v>1393.6100000000001</v>
      </c>
    </row>
    <row r="28" spans="1:18" x14ac:dyDescent="0.25">
      <c r="B28" t="s">
        <v>121</v>
      </c>
      <c r="C28" t="s">
        <v>114</v>
      </c>
      <c r="D28" t="s">
        <v>79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f>I28-H28</f>
        <v>588.20000000000005</v>
      </c>
      <c r="K28" s="15">
        <v>0</v>
      </c>
      <c r="L28" s="15">
        <v>0</v>
      </c>
      <c r="M28" s="15">
        <f>E28*0.105</f>
        <v>561.75</v>
      </c>
      <c r="N28" s="15">
        <f>SUM(J28:M28)</f>
        <v>1149.95</v>
      </c>
      <c r="O28" s="18">
        <f>G28-N28</f>
        <v>4200.05</v>
      </c>
      <c r="P28" s="10">
        <v>510.86</v>
      </c>
      <c r="Q28" s="10">
        <v>882.75</v>
      </c>
      <c r="R28" s="35">
        <f>P28+Q28</f>
        <v>1393.6100000000001</v>
      </c>
    </row>
    <row r="29" spans="1:18" x14ac:dyDescent="0.25">
      <c r="A29" t="s">
        <v>137</v>
      </c>
      <c r="B29" s="2" t="s">
        <v>26</v>
      </c>
      <c r="E29" s="34">
        <f t="shared" ref="E29:R29" si="10">SUM(E27:E28)</f>
        <v>10700</v>
      </c>
      <c r="F29" s="34">
        <f t="shared" si="10"/>
        <v>0</v>
      </c>
      <c r="G29" s="34">
        <f t="shared" si="10"/>
        <v>10700</v>
      </c>
      <c r="H29" s="34">
        <f t="shared" si="10"/>
        <v>0</v>
      </c>
      <c r="I29" s="34">
        <f t="shared" si="10"/>
        <v>1176.4000000000001</v>
      </c>
      <c r="J29" s="34">
        <f t="shared" si="10"/>
        <v>1176.4000000000001</v>
      </c>
      <c r="K29" s="34">
        <f t="shared" si="10"/>
        <v>0</v>
      </c>
      <c r="L29" s="34">
        <f t="shared" si="10"/>
        <v>0</v>
      </c>
      <c r="M29" s="34">
        <f t="shared" si="10"/>
        <v>1123.5</v>
      </c>
      <c r="N29" s="34">
        <f t="shared" si="10"/>
        <v>2299.9</v>
      </c>
      <c r="O29" s="34">
        <f t="shared" si="10"/>
        <v>8400.1</v>
      </c>
      <c r="P29" s="34">
        <f t="shared" si="10"/>
        <v>1021.72</v>
      </c>
      <c r="Q29" s="34">
        <f t="shared" si="10"/>
        <v>1765.5</v>
      </c>
      <c r="R29" s="34">
        <f t="shared" si="10"/>
        <v>2787.2200000000003</v>
      </c>
    </row>
    <row r="31" spans="1:18" x14ac:dyDescent="0.25">
      <c r="B31" s="2" t="s">
        <v>63</v>
      </c>
      <c r="C31" s="2" t="s">
        <v>51</v>
      </c>
    </row>
    <row r="32" spans="1:18" x14ac:dyDescent="0.25">
      <c r="B32" t="s">
        <v>122</v>
      </c>
      <c r="C32" t="s">
        <v>97</v>
      </c>
      <c r="D32" t="s">
        <v>80</v>
      </c>
      <c r="E32" s="15">
        <v>5350</v>
      </c>
      <c r="F32" s="15">
        <v>0</v>
      </c>
      <c r="G32" s="15">
        <f t="shared" ref="G32:G42" si="11">E32+F32</f>
        <v>5350</v>
      </c>
      <c r="H32" s="15">
        <v>0</v>
      </c>
      <c r="I32" s="15">
        <v>588.20000000000005</v>
      </c>
      <c r="J32" s="15">
        <f t="shared" ref="J32:J42" si="12">I32-H32</f>
        <v>588.20000000000005</v>
      </c>
      <c r="K32" s="15">
        <v>0</v>
      </c>
      <c r="L32" s="15">
        <v>0</v>
      </c>
      <c r="M32" s="15">
        <f t="shared" ref="M32:M42" si="13">E32*0.105</f>
        <v>561.75</v>
      </c>
      <c r="N32" s="15">
        <f t="shared" ref="N32:N42" si="14">SUM(J32:M32)</f>
        <v>1149.95</v>
      </c>
      <c r="O32" s="18">
        <f t="shared" ref="O32:O42" si="15">G32-N32</f>
        <v>4200.05</v>
      </c>
      <c r="P32" s="10">
        <v>510.86</v>
      </c>
      <c r="Q32" s="10">
        <v>882.75</v>
      </c>
      <c r="R32" s="35">
        <f t="shared" ref="R32:R42" si="16">P32+Q32</f>
        <v>1393.6100000000001</v>
      </c>
    </row>
    <row r="33" spans="1:18" x14ac:dyDescent="0.25">
      <c r="B33" t="s">
        <v>123</v>
      </c>
      <c r="C33" t="s">
        <v>100</v>
      </c>
      <c r="D33" t="s">
        <v>80</v>
      </c>
      <c r="E33" s="15">
        <v>5350</v>
      </c>
      <c r="F33" s="15">
        <v>0</v>
      </c>
      <c r="G33" s="15">
        <f t="shared" si="11"/>
        <v>5350</v>
      </c>
      <c r="H33" s="15">
        <v>0</v>
      </c>
      <c r="I33" s="15">
        <v>588.20000000000005</v>
      </c>
      <c r="J33" s="15">
        <f t="shared" si="12"/>
        <v>588.20000000000005</v>
      </c>
      <c r="K33" s="15">
        <v>0</v>
      </c>
      <c r="L33" s="15">
        <v>0</v>
      </c>
      <c r="M33" s="15">
        <f t="shared" si="13"/>
        <v>561.75</v>
      </c>
      <c r="N33" s="15">
        <f t="shared" si="14"/>
        <v>1149.95</v>
      </c>
      <c r="O33" s="18">
        <f t="shared" si="15"/>
        <v>4200.05</v>
      </c>
      <c r="P33" s="10">
        <v>510.86</v>
      </c>
      <c r="Q33" s="10">
        <v>882.75</v>
      </c>
      <c r="R33" s="35">
        <f t="shared" si="16"/>
        <v>1393.6100000000001</v>
      </c>
    </row>
    <row r="34" spans="1:18" x14ac:dyDescent="0.25">
      <c r="B34" t="s">
        <v>124</v>
      </c>
      <c r="C34" t="s">
        <v>96</v>
      </c>
      <c r="D34" t="s">
        <v>78</v>
      </c>
      <c r="E34" s="15">
        <v>5350</v>
      </c>
      <c r="F34" s="15">
        <v>0</v>
      </c>
      <c r="G34" s="15">
        <f t="shared" si="11"/>
        <v>5350</v>
      </c>
      <c r="H34" s="15">
        <v>0</v>
      </c>
      <c r="I34" s="15">
        <v>588.20000000000005</v>
      </c>
      <c r="J34" s="15">
        <f t="shared" si="12"/>
        <v>588.20000000000005</v>
      </c>
      <c r="K34" s="15">
        <v>0</v>
      </c>
      <c r="L34" s="15">
        <v>0</v>
      </c>
      <c r="M34" s="15">
        <f t="shared" si="13"/>
        <v>561.75</v>
      </c>
      <c r="N34" s="15">
        <f t="shared" si="14"/>
        <v>1149.95</v>
      </c>
      <c r="O34" s="18">
        <f t="shared" si="15"/>
        <v>4200.05</v>
      </c>
      <c r="P34" s="10">
        <v>510.86</v>
      </c>
      <c r="Q34" s="10">
        <v>882.75</v>
      </c>
      <c r="R34" s="35">
        <f t="shared" si="16"/>
        <v>1393.6100000000001</v>
      </c>
    </row>
    <row r="35" spans="1:18" x14ac:dyDescent="0.25">
      <c r="B35" t="s">
        <v>125</v>
      </c>
      <c r="C35" t="s">
        <v>104</v>
      </c>
      <c r="D35" t="s">
        <v>78</v>
      </c>
      <c r="E35" s="15">
        <v>5350</v>
      </c>
      <c r="F35" s="15">
        <v>0</v>
      </c>
      <c r="G35" s="15">
        <f t="shared" si="11"/>
        <v>5350</v>
      </c>
      <c r="H35" s="15">
        <v>0</v>
      </c>
      <c r="I35" s="15">
        <v>588.20000000000005</v>
      </c>
      <c r="J35" s="15">
        <f t="shared" si="12"/>
        <v>588.20000000000005</v>
      </c>
      <c r="K35" s="15">
        <v>0</v>
      </c>
      <c r="L35" s="15">
        <v>0</v>
      </c>
      <c r="M35" s="15">
        <f t="shared" si="13"/>
        <v>561.75</v>
      </c>
      <c r="N35" s="15">
        <f t="shared" si="14"/>
        <v>1149.95</v>
      </c>
      <c r="O35" s="18">
        <f t="shared" si="15"/>
        <v>4200.05</v>
      </c>
      <c r="P35" s="10">
        <v>510.86</v>
      </c>
      <c r="Q35" s="10">
        <v>882.75</v>
      </c>
      <c r="R35" s="35">
        <f t="shared" si="16"/>
        <v>1393.6100000000001</v>
      </c>
    </row>
    <row r="36" spans="1:18" x14ac:dyDescent="0.25">
      <c r="B36" t="s">
        <v>126</v>
      </c>
      <c r="C36" t="s">
        <v>94</v>
      </c>
      <c r="D36" t="s">
        <v>81</v>
      </c>
      <c r="E36" s="15">
        <v>5350</v>
      </c>
      <c r="F36" s="15">
        <v>0</v>
      </c>
      <c r="G36" s="15">
        <f t="shared" si="11"/>
        <v>5350</v>
      </c>
      <c r="H36" s="15">
        <v>0</v>
      </c>
      <c r="I36" s="15">
        <v>588.20000000000005</v>
      </c>
      <c r="J36" s="15">
        <f t="shared" si="12"/>
        <v>588.20000000000005</v>
      </c>
      <c r="K36" s="15">
        <v>0</v>
      </c>
      <c r="L36" s="15">
        <v>0</v>
      </c>
      <c r="M36" s="15">
        <f t="shared" si="13"/>
        <v>561.75</v>
      </c>
      <c r="N36" s="15">
        <f t="shared" si="14"/>
        <v>1149.95</v>
      </c>
      <c r="O36" s="18">
        <f t="shared" si="15"/>
        <v>4200.05</v>
      </c>
      <c r="P36" s="10">
        <v>510.86</v>
      </c>
      <c r="Q36" s="10">
        <v>882.75</v>
      </c>
      <c r="R36" s="35">
        <f t="shared" si="16"/>
        <v>1393.6100000000001</v>
      </c>
    </row>
    <row r="37" spans="1:18" x14ac:dyDescent="0.25">
      <c r="B37" t="s">
        <v>127</v>
      </c>
      <c r="C37" t="s">
        <v>98</v>
      </c>
      <c r="D37" t="s">
        <v>81</v>
      </c>
      <c r="E37" s="15">
        <v>5350</v>
      </c>
      <c r="F37" s="15">
        <v>0</v>
      </c>
      <c r="G37" s="15">
        <f t="shared" si="11"/>
        <v>5350</v>
      </c>
      <c r="H37" s="15">
        <v>0</v>
      </c>
      <c r="I37" s="15">
        <v>588.20000000000005</v>
      </c>
      <c r="J37" s="15">
        <f t="shared" si="12"/>
        <v>588.20000000000005</v>
      </c>
      <c r="K37" s="15">
        <v>0</v>
      </c>
      <c r="L37" s="15">
        <v>0</v>
      </c>
      <c r="M37" s="15">
        <f t="shared" si="13"/>
        <v>561.75</v>
      </c>
      <c r="N37" s="15">
        <f t="shared" si="14"/>
        <v>1149.95</v>
      </c>
      <c r="O37" s="18">
        <f t="shared" si="15"/>
        <v>4200.05</v>
      </c>
      <c r="P37" s="10">
        <v>510.86</v>
      </c>
      <c r="Q37" s="10">
        <v>882.75</v>
      </c>
      <c r="R37" s="35">
        <f t="shared" si="16"/>
        <v>1393.6100000000001</v>
      </c>
    </row>
    <row r="38" spans="1:18" x14ac:dyDescent="0.25">
      <c r="B38" t="s">
        <v>128</v>
      </c>
      <c r="C38" t="s">
        <v>101</v>
      </c>
      <c r="D38" t="s">
        <v>81</v>
      </c>
      <c r="E38" s="15">
        <v>5350</v>
      </c>
      <c r="F38" s="15">
        <v>0</v>
      </c>
      <c r="G38" s="15">
        <f t="shared" si="11"/>
        <v>5350</v>
      </c>
      <c r="H38" s="15">
        <v>0</v>
      </c>
      <c r="I38" s="15">
        <v>588.20000000000005</v>
      </c>
      <c r="J38" s="15">
        <f t="shared" si="12"/>
        <v>588.20000000000005</v>
      </c>
      <c r="K38" s="15">
        <v>0</v>
      </c>
      <c r="L38" s="15">
        <v>0</v>
      </c>
      <c r="M38" s="15">
        <f t="shared" si="13"/>
        <v>561.75</v>
      </c>
      <c r="N38" s="15">
        <f t="shared" si="14"/>
        <v>1149.95</v>
      </c>
      <c r="O38" s="18">
        <f t="shared" si="15"/>
        <v>4200.05</v>
      </c>
      <c r="P38" s="10">
        <v>510.86</v>
      </c>
      <c r="Q38" s="10">
        <v>882.75</v>
      </c>
      <c r="R38" s="35">
        <f t="shared" si="16"/>
        <v>1393.6100000000001</v>
      </c>
    </row>
    <row r="39" spans="1:18" x14ac:dyDescent="0.25">
      <c r="B39" t="s">
        <v>129</v>
      </c>
      <c r="C39" t="s">
        <v>95</v>
      </c>
      <c r="D39" t="s">
        <v>82</v>
      </c>
      <c r="E39" s="15">
        <v>5350</v>
      </c>
      <c r="F39" s="15">
        <v>0</v>
      </c>
      <c r="G39" s="15">
        <f t="shared" si="11"/>
        <v>5350</v>
      </c>
      <c r="H39" s="15">
        <v>0</v>
      </c>
      <c r="I39" s="15">
        <v>588.20000000000005</v>
      </c>
      <c r="J39" s="15">
        <f t="shared" si="12"/>
        <v>588.20000000000005</v>
      </c>
      <c r="K39" s="15">
        <v>0</v>
      </c>
      <c r="L39" s="15">
        <v>0</v>
      </c>
      <c r="M39" s="15">
        <f t="shared" si="13"/>
        <v>561.75</v>
      </c>
      <c r="N39" s="15">
        <f t="shared" si="14"/>
        <v>1149.95</v>
      </c>
      <c r="O39" s="18">
        <f t="shared" si="15"/>
        <v>4200.05</v>
      </c>
      <c r="P39" s="10">
        <v>510.86</v>
      </c>
      <c r="Q39" s="10">
        <v>882.75</v>
      </c>
      <c r="R39" s="35">
        <f t="shared" si="16"/>
        <v>1393.6100000000001</v>
      </c>
    </row>
    <row r="40" spans="1:18" x14ac:dyDescent="0.25">
      <c r="B40" t="s">
        <v>130</v>
      </c>
      <c r="C40" t="s">
        <v>102</v>
      </c>
      <c r="D40" t="s">
        <v>82</v>
      </c>
      <c r="E40" s="15">
        <v>5350</v>
      </c>
      <c r="F40" s="15">
        <v>0</v>
      </c>
      <c r="G40" s="15">
        <f t="shared" si="11"/>
        <v>5350</v>
      </c>
      <c r="H40" s="15">
        <v>0</v>
      </c>
      <c r="I40" s="15">
        <v>588.20000000000005</v>
      </c>
      <c r="J40" s="15">
        <f t="shared" si="12"/>
        <v>588.20000000000005</v>
      </c>
      <c r="K40" s="15">
        <v>0</v>
      </c>
      <c r="L40" s="15">
        <v>0</v>
      </c>
      <c r="M40" s="15">
        <f t="shared" si="13"/>
        <v>561.75</v>
      </c>
      <c r="N40" s="15">
        <f t="shared" si="14"/>
        <v>1149.95</v>
      </c>
      <c r="O40" s="18">
        <f t="shared" si="15"/>
        <v>4200.05</v>
      </c>
      <c r="P40" s="10">
        <v>510.86</v>
      </c>
      <c r="Q40" s="10">
        <v>882.75</v>
      </c>
      <c r="R40" s="35">
        <f t="shared" si="16"/>
        <v>1393.6100000000001</v>
      </c>
    </row>
    <row r="41" spans="1:18" x14ac:dyDescent="0.25">
      <c r="B41" t="s">
        <v>131</v>
      </c>
      <c r="C41" t="s">
        <v>85</v>
      </c>
      <c r="D41" t="s">
        <v>83</v>
      </c>
      <c r="E41" s="15">
        <v>5350</v>
      </c>
      <c r="F41" s="15">
        <v>0</v>
      </c>
      <c r="G41" s="15">
        <f t="shared" si="11"/>
        <v>5350</v>
      </c>
      <c r="H41" s="15">
        <v>0</v>
      </c>
      <c r="I41" s="15">
        <v>588.20000000000005</v>
      </c>
      <c r="J41" s="15">
        <f t="shared" si="12"/>
        <v>588.20000000000005</v>
      </c>
      <c r="K41" s="15">
        <v>0</v>
      </c>
      <c r="L41" s="15">
        <v>0</v>
      </c>
      <c r="M41" s="15">
        <f t="shared" si="13"/>
        <v>561.75</v>
      </c>
      <c r="N41" s="15">
        <f t="shared" si="14"/>
        <v>1149.95</v>
      </c>
      <c r="O41" s="18">
        <f t="shared" si="15"/>
        <v>4200.05</v>
      </c>
      <c r="P41" s="10">
        <v>510.86</v>
      </c>
      <c r="Q41" s="10">
        <v>882.75</v>
      </c>
      <c r="R41" s="35">
        <f t="shared" si="16"/>
        <v>1393.6100000000001</v>
      </c>
    </row>
    <row r="42" spans="1:18" x14ac:dyDescent="0.25">
      <c r="B42" t="s">
        <v>132</v>
      </c>
      <c r="C42" t="s">
        <v>103</v>
      </c>
      <c r="D42" t="s">
        <v>83</v>
      </c>
      <c r="E42" s="15">
        <v>5350</v>
      </c>
      <c r="F42" s="15">
        <v>0</v>
      </c>
      <c r="G42" s="15">
        <f t="shared" si="11"/>
        <v>5350</v>
      </c>
      <c r="H42" s="15">
        <v>0</v>
      </c>
      <c r="I42" s="15">
        <v>588.20000000000005</v>
      </c>
      <c r="J42" s="15">
        <f t="shared" si="12"/>
        <v>588.20000000000005</v>
      </c>
      <c r="K42" s="15">
        <v>0</v>
      </c>
      <c r="L42" s="15">
        <v>0</v>
      </c>
      <c r="M42" s="15">
        <f t="shared" si="13"/>
        <v>561.75</v>
      </c>
      <c r="N42" s="15">
        <f t="shared" si="14"/>
        <v>1149.95</v>
      </c>
      <c r="O42" s="18">
        <f t="shared" si="15"/>
        <v>4200.05</v>
      </c>
      <c r="P42" s="10">
        <v>510.86</v>
      </c>
      <c r="Q42" s="10">
        <v>882.75</v>
      </c>
      <c r="R42" s="35">
        <f t="shared" si="16"/>
        <v>1393.6100000000001</v>
      </c>
    </row>
    <row r="43" spans="1:18" x14ac:dyDescent="0.25">
      <c r="A43" t="s">
        <v>138</v>
      </c>
      <c r="B43" s="2" t="s">
        <v>26</v>
      </c>
      <c r="E43" s="34">
        <f t="shared" ref="E43:R43" si="17">SUM(E32:E42)</f>
        <v>58850</v>
      </c>
      <c r="F43" s="34">
        <f t="shared" si="17"/>
        <v>0</v>
      </c>
      <c r="G43" s="34">
        <f t="shared" si="17"/>
        <v>58850</v>
      </c>
      <c r="H43" s="34">
        <f t="shared" si="17"/>
        <v>0</v>
      </c>
      <c r="I43" s="34">
        <f t="shared" si="17"/>
        <v>6470.1999999999989</v>
      </c>
      <c r="J43" s="34">
        <f t="shared" si="17"/>
        <v>6470.1999999999989</v>
      </c>
      <c r="K43" s="34">
        <f t="shared" si="17"/>
        <v>0</v>
      </c>
      <c r="L43" s="34">
        <f t="shared" si="17"/>
        <v>0</v>
      </c>
      <c r="M43" s="34">
        <f t="shared" si="17"/>
        <v>6179.25</v>
      </c>
      <c r="N43" s="34">
        <f t="shared" si="17"/>
        <v>12649.450000000003</v>
      </c>
      <c r="O43" s="34">
        <f t="shared" si="17"/>
        <v>46200.55000000001</v>
      </c>
      <c r="P43" s="34">
        <f t="shared" si="17"/>
        <v>5619.46</v>
      </c>
      <c r="Q43" s="34">
        <f t="shared" si="17"/>
        <v>9710.25</v>
      </c>
      <c r="R43" s="34">
        <f t="shared" si="17"/>
        <v>15329.710000000005</v>
      </c>
    </row>
    <row r="45" spans="1:18" x14ac:dyDescent="0.25">
      <c r="B45" s="2" t="s">
        <v>140</v>
      </c>
      <c r="C45" s="2" t="s">
        <v>64</v>
      </c>
    </row>
    <row r="46" spans="1:18" x14ac:dyDescent="0.25">
      <c r="B46" t="s">
        <v>133</v>
      </c>
      <c r="C46" t="s">
        <v>99</v>
      </c>
      <c r="D46" t="s">
        <v>80</v>
      </c>
      <c r="E46" s="15">
        <v>5350</v>
      </c>
      <c r="F46" s="15">
        <v>0</v>
      </c>
      <c r="G46" s="15">
        <f>E46+F46</f>
        <v>5350</v>
      </c>
      <c r="H46" s="15">
        <v>0</v>
      </c>
      <c r="I46" s="15">
        <v>588.20000000000005</v>
      </c>
      <c r="J46" s="15">
        <f>I46-H46</f>
        <v>588.20000000000005</v>
      </c>
      <c r="K46" s="15">
        <v>0</v>
      </c>
      <c r="L46" s="15">
        <v>0</v>
      </c>
      <c r="M46" s="15">
        <f>E46*0.105</f>
        <v>561.75</v>
      </c>
      <c r="N46" s="15">
        <f>SUM(J46:M46)</f>
        <v>1149.95</v>
      </c>
      <c r="O46" s="18">
        <f>G46-N46</f>
        <v>4200.05</v>
      </c>
      <c r="P46" s="10">
        <v>510.86</v>
      </c>
      <c r="Q46" s="10">
        <v>882.75</v>
      </c>
      <c r="R46" s="35">
        <f t="shared" ref="R46" si="18">P46+Q46</f>
        <v>1393.6100000000001</v>
      </c>
    </row>
    <row r="47" spans="1:18" x14ac:dyDescent="0.25">
      <c r="A47" t="s">
        <v>139</v>
      </c>
      <c r="B47" s="2" t="s">
        <v>26</v>
      </c>
      <c r="E47" s="34">
        <f t="shared" ref="E47:R47" si="19">E46</f>
        <v>5350</v>
      </c>
      <c r="F47" s="34">
        <f t="shared" si="19"/>
        <v>0</v>
      </c>
      <c r="G47" s="34">
        <f t="shared" si="19"/>
        <v>5350</v>
      </c>
      <c r="H47" s="34">
        <f t="shared" si="19"/>
        <v>0</v>
      </c>
      <c r="I47" s="34">
        <f t="shared" si="19"/>
        <v>588.20000000000005</v>
      </c>
      <c r="J47" s="34">
        <f t="shared" si="19"/>
        <v>588.20000000000005</v>
      </c>
      <c r="K47" s="34">
        <f t="shared" si="19"/>
        <v>0</v>
      </c>
      <c r="L47" s="34">
        <f t="shared" si="19"/>
        <v>0</v>
      </c>
      <c r="M47" s="34">
        <f t="shared" si="19"/>
        <v>561.75</v>
      </c>
      <c r="N47" s="34">
        <f t="shared" si="19"/>
        <v>1149.95</v>
      </c>
      <c r="O47" s="34">
        <f t="shared" si="19"/>
        <v>4200.05</v>
      </c>
      <c r="P47" s="34">
        <f t="shared" si="19"/>
        <v>510.86</v>
      </c>
      <c r="Q47" s="34">
        <f t="shared" si="19"/>
        <v>882.75</v>
      </c>
      <c r="R47" s="34">
        <f t="shared" si="19"/>
        <v>1393.6100000000001</v>
      </c>
    </row>
    <row r="48" spans="1:18" hidden="1" x14ac:dyDescent="0.25"/>
    <row r="49" spans="2:18" x14ac:dyDescent="0.25">
      <c r="B49" s="2"/>
    </row>
    <row r="51" spans="2:18" x14ac:dyDescent="0.25">
      <c r="B51" s="2"/>
      <c r="G51" s="16"/>
      <c r="H51" s="16"/>
      <c r="I51" s="16"/>
      <c r="J51" s="16"/>
      <c r="K51" s="16"/>
      <c r="L51" s="16"/>
      <c r="M51" s="16"/>
      <c r="N51" s="16"/>
      <c r="O51" s="16"/>
      <c r="P51" s="8"/>
      <c r="Q51" s="8"/>
      <c r="R51" s="8"/>
    </row>
    <row r="53" spans="2:18" ht="18.75" x14ac:dyDescent="0.3">
      <c r="D53" s="4" t="s">
        <v>105</v>
      </c>
      <c r="E53" s="17">
        <f>E8+E19+E24+E29+E43+E47+E51</f>
        <v>153604.95000000001</v>
      </c>
      <c r="F53" s="17">
        <f t="shared" ref="F53:R53" si="20">F8+F19+F24+F29+F43+F47+F51</f>
        <v>0</v>
      </c>
      <c r="G53" s="17">
        <f t="shared" si="20"/>
        <v>153604.95000000001</v>
      </c>
      <c r="H53" s="17">
        <f t="shared" si="20"/>
        <v>274.08999999999997</v>
      </c>
      <c r="I53" s="17">
        <f t="shared" si="20"/>
        <v>18911.5</v>
      </c>
      <c r="J53" s="17">
        <f t="shared" si="20"/>
        <v>18637.41</v>
      </c>
      <c r="K53" s="17">
        <f t="shared" si="20"/>
        <v>0</v>
      </c>
      <c r="L53" s="17">
        <f t="shared" si="20"/>
        <v>0</v>
      </c>
      <c r="M53" s="17">
        <f t="shared" si="20"/>
        <v>16128.519749999999</v>
      </c>
      <c r="N53" s="17">
        <f t="shared" si="20"/>
        <v>34765.929750000003</v>
      </c>
      <c r="O53" s="17">
        <f t="shared" si="20"/>
        <v>118839.02025000002</v>
      </c>
      <c r="P53" s="17">
        <f t="shared" si="20"/>
        <v>14204.14</v>
      </c>
      <c r="Q53" s="17">
        <f t="shared" si="20"/>
        <v>25427.309999999998</v>
      </c>
      <c r="R53" s="17">
        <f t="shared" si="20"/>
        <v>39631.450000000004</v>
      </c>
    </row>
    <row r="55" spans="2:18" ht="18.75" x14ac:dyDescent="0.3">
      <c r="D55" s="26"/>
      <c r="G55" s="25"/>
      <c r="O55" s="17"/>
    </row>
    <row r="56" spans="2:18" ht="18.75" x14ac:dyDescent="0.4">
      <c r="C56" s="33"/>
      <c r="D56" s="22"/>
      <c r="G56" s="23"/>
    </row>
    <row r="62" spans="2:18" ht="15.75" thickBot="1" x14ac:dyDescent="0.3">
      <c r="D62" s="89"/>
      <c r="E62" s="89"/>
      <c r="G62" s="88"/>
      <c r="H62" s="88"/>
      <c r="I62" s="88"/>
    </row>
    <row r="63" spans="2:18" x14ac:dyDescent="0.25">
      <c r="D63" s="90" t="s">
        <v>146</v>
      </c>
      <c r="E63" s="90"/>
      <c r="G63" s="87" t="s">
        <v>147</v>
      </c>
      <c r="H63" s="87"/>
      <c r="I63" s="87"/>
    </row>
    <row r="64" spans="2:18" ht="18.75" x14ac:dyDescent="0.4">
      <c r="D64" s="22"/>
      <c r="G64" s="24"/>
    </row>
    <row r="65" spans="4:9" ht="18.75" x14ac:dyDescent="0.4">
      <c r="D65" s="84" t="s">
        <v>144</v>
      </c>
      <c r="E65" s="84"/>
      <c r="G65" s="85" t="s">
        <v>145</v>
      </c>
      <c r="H65" s="85"/>
      <c r="I65" s="85"/>
    </row>
  </sheetData>
  <mergeCells count="8">
    <mergeCell ref="D65:E65"/>
    <mergeCell ref="G65:I65"/>
    <mergeCell ref="E2:R2"/>
    <mergeCell ref="C1:D1"/>
    <mergeCell ref="G63:I63"/>
    <mergeCell ref="G62:I62"/>
    <mergeCell ref="D62:E62"/>
    <mergeCell ref="D63:E63"/>
  </mergeCells>
  <pageMargins left="0.51181102362204722" right="0.51181102362204722" top="0.55118110236220474" bottom="0.55118110236220474" header="0.31496062992125984" footer="0.31496062992125984"/>
  <pageSetup scale="30" fitToHeight="0" orientation="portrait" r:id="rId1"/>
  <ignoredErrors>
    <ignoredError sqref="F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A14" sqref="A14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customWidth="1"/>
    <col min="6" max="6" width="14.42578125" customWidth="1"/>
    <col min="7" max="7" width="17.28515625" customWidth="1"/>
    <col min="8" max="8" width="11.42578125" customWidth="1"/>
    <col min="9" max="9" width="13.140625" customWidth="1"/>
    <col min="10" max="10" width="12.85546875" customWidth="1"/>
    <col min="11" max="12" width="11.42578125" customWidth="1"/>
    <col min="13" max="13" width="16.28515625" customWidth="1"/>
    <col min="14" max="14" width="17.28515625" customWidth="1"/>
    <col min="15" max="15" width="20.140625" customWidth="1"/>
    <col min="16" max="16" width="17.42578125" customWidth="1"/>
    <col min="17" max="17" width="15.7109375" customWidth="1"/>
    <col min="18" max="18" width="19.28515625" customWidth="1"/>
  </cols>
  <sheetData>
    <row r="1" spans="1:18" ht="18.75" x14ac:dyDescent="0.25">
      <c r="C1" s="86" t="s">
        <v>148</v>
      </c>
      <c r="D1" s="8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ht="15.75" thickBot="1" x14ac:dyDescent="0.3"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8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50" t="s">
        <v>113</v>
      </c>
      <c r="G3" s="49" t="s">
        <v>12</v>
      </c>
      <c r="H3" s="49" t="s">
        <v>107</v>
      </c>
      <c r="I3" s="49" t="s">
        <v>143</v>
      </c>
      <c r="J3" s="49" t="s">
        <v>13</v>
      </c>
      <c r="K3" s="49" t="s">
        <v>15</v>
      </c>
      <c r="L3" s="49" t="s">
        <v>106</v>
      </c>
      <c r="M3" s="49" t="s">
        <v>16</v>
      </c>
      <c r="N3" s="49" t="s">
        <v>17</v>
      </c>
      <c r="O3" s="49" t="s">
        <v>72</v>
      </c>
      <c r="P3" s="48" t="s">
        <v>8</v>
      </c>
      <c r="Q3" s="48" t="s">
        <v>18</v>
      </c>
      <c r="R3" s="51" t="s">
        <v>73</v>
      </c>
    </row>
    <row r="4" spans="1:18" ht="15.75" thickTop="1" x14ac:dyDescent="0.25">
      <c r="B4" s="2" t="s">
        <v>19</v>
      </c>
      <c r="C4" s="2" t="s">
        <v>20</v>
      </c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x14ac:dyDescent="0.25">
      <c r="B5" t="s">
        <v>21</v>
      </c>
      <c r="C5" s="11" t="s">
        <v>22</v>
      </c>
      <c r="D5" t="s">
        <v>25</v>
      </c>
      <c r="E5" s="15">
        <v>16954.95</v>
      </c>
      <c r="F5" s="15">
        <v>0</v>
      </c>
      <c r="G5" s="15">
        <f>E5+F5</f>
        <v>16954.95</v>
      </c>
      <c r="H5" s="15">
        <v>0</v>
      </c>
      <c r="I5" s="15">
        <v>3246.93</v>
      </c>
      <c r="J5" s="15">
        <f>I5-H5</f>
        <v>3246.93</v>
      </c>
      <c r="K5" s="15">
        <v>0</v>
      </c>
      <c r="L5" s="15">
        <v>0</v>
      </c>
      <c r="M5" s="15">
        <f>E5*0.105</f>
        <v>1780.2697499999999</v>
      </c>
      <c r="N5" s="15">
        <f>SUM(J5:M5)</f>
        <v>5027.1997499999998</v>
      </c>
      <c r="O5" s="18">
        <f>G5-N5</f>
        <v>11927.750250000001</v>
      </c>
      <c r="P5" s="10">
        <v>1223.77</v>
      </c>
      <c r="Q5" s="10">
        <v>2797.56</v>
      </c>
      <c r="R5" s="35">
        <f>SUM(P5:Q5)</f>
        <v>4021.33</v>
      </c>
    </row>
    <row r="6" spans="1:18" x14ac:dyDescent="0.25">
      <c r="B6" t="s">
        <v>23</v>
      </c>
      <c r="C6" s="11" t="s">
        <v>24</v>
      </c>
      <c r="D6" t="s">
        <v>3</v>
      </c>
      <c r="E6" s="15">
        <v>4850</v>
      </c>
      <c r="F6" s="15">
        <v>0</v>
      </c>
      <c r="G6" s="15">
        <f t="shared" ref="G6:G7" si="0">E6+F6</f>
        <v>4850</v>
      </c>
      <c r="H6" s="15">
        <v>0</v>
      </c>
      <c r="I6" s="15">
        <v>491.69</v>
      </c>
      <c r="J6" s="15">
        <f t="shared" ref="J6:J7" si="1">I6-H6</f>
        <v>491.69</v>
      </c>
      <c r="K6" s="15">
        <v>0</v>
      </c>
      <c r="L6" s="15">
        <v>0</v>
      </c>
      <c r="M6" s="15">
        <f>E6*0.105</f>
        <v>509.25</v>
      </c>
      <c r="N6" s="15">
        <f t="shared" ref="N6:N7" si="2">SUM(J6:M6)</f>
        <v>1000.94</v>
      </c>
      <c r="O6" s="18">
        <f>G6-N6</f>
        <v>3849.06</v>
      </c>
      <c r="P6" s="10">
        <v>480.14</v>
      </c>
      <c r="Q6" s="10">
        <v>800.25</v>
      </c>
      <c r="R6" s="35">
        <f t="shared" ref="R6:R7" si="3">SUM(P6:Q6)</f>
        <v>1280.3899999999999</v>
      </c>
    </row>
    <row r="7" spans="1:18" x14ac:dyDescent="0.25">
      <c r="B7" t="s">
        <v>41</v>
      </c>
      <c r="C7" s="11" t="s">
        <v>42</v>
      </c>
      <c r="D7" t="s">
        <v>2</v>
      </c>
      <c r="E7" s="15">
        <v>10000</v>
      </c>
      <c r="F7" s="15">
        <v>0</v>
      </c>
      <c r="G7" s="15">
        <f t="shared" si="0"/>
        <v>10000</v>
      </c>
      <c r="H7" s="15">
        <v>0</v>
      </c>
      <c r="I7" s="15">
        <v>1581.44</v>
      </c>
      <c r="J7" s="15">
        <f t="shared" si="1"/>
        <v>1581.44</v>
      </c>
      <c r="K7" s="15">
        <v>0</v>
      </c>
      <c r="L7" s="15">
        <v>0</v>
      </c>
      <c r="M7" s="15">
        <f>E7*0.105</f>
        <v>1050</v>
      </c>
      <c r="N7" s="15">
        <f t="shared" si="2"/>
        <v>2631.44</v>
      </c>
      <c r="O7" s="18">
        <f>G7-N7</f>
        <v>7368.5599999999995</v>
      </c>
      <c r="P7" s="10">
        <v>796.52</v>
      </c>
      <c r="Q7" s="10">
        <v>1650</v>
      </c>
      <c r="R7" s="35">
        <f t="shared" si="3"/>
        <v>2446.52</v>
      </c>
    </row>
    <row r="8" spans="1:18" x14ac:dyDescent="0.25">
      <c r="A8" t="s">
        <v>135</v>
      </c>
      <c r="B8" s="7" t="s">
        <v>26</v>
      </c>
      <c r="E8" s="34">
        <f>SUM(E5:E7)</f>
        <v>31804.95</v>
      </c>
      <c r="F8" s="34">
        <f>SUM(F5:F7)</f>
        <v>0</v>
      </c>
      <c r="G8" s="34">
        <f>SUM(G5:G7)</f>
        <v>31804.95</v>
      </c>
      <c r="H8" s="34">
        <f t="shared" ref="H8:R8" si="4">SUM(H5:H7)</f>
        <v>0</v>
      </c>
      <c r="I8" s="34">
        <f t="shared" si="4"/>
        <v>5320.0599999999995</v>
      </c>
      <c r="J8" s="34">
        <f t="shared" si="4"/>
        <v>5320.0599999999995</v>
      </c>
      <c r="K8" s="34">
        <f t="shared" si="4"/>
        <v>0</v>
      </c>
      <c r="L8" s="34">
        <f t="shared" si="4"/>
        <v>0</v>
      </c>
      <c r="M8" s="34">
        <f t="shared" si="4"/>
        <v>3339.5197499999999</v>
      </c>
      <c r="N8" s="34">
        <f t="shared" si="4"/>
        <v>8659.5797500000008</v>
      </c>
      <c r="O8" s="34">
        <f t="shared" si="4"/>
        <v>23145.37025</v>
      </c>
      <c r="P8" s="34">
        <f t="shared" si="4"/>
        <v>2500.4299999999998</v>
      </c>
      <c r="Q8" s="34">
        <f t="shared" si="4"/>
        <v>5247.8099999999995</v>
      </c>
      <c r="R8" s="34">
        <f t="shared" si="4"/>
        <v>7748.24</v>
      </c>
    </row>
    <row r="9" spans="1:18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8" x14ac:dyDescent="0.25">
      <c r="B11" t="s">
        <v>32</v>
      </c>
      <c r="C11" s="11" t="s">
        <v>37</v>
      </c>
      <c r="D11" t="s">
        <v>1</v>
      </c>
      <c r="E11" s="15">
        <v>10000</v>
      </c>
      <c r="F11" s="15">
        <v>0</v>
      </c>
      <c r="G11" s="15">
        <f>E11+F11</f>
        <v>10000</v>
      </c>
      <c r="H11" s="15">
        <v>0</v>
      </c>
      <c r="I11" s="15">
        <v>1581.44</v>
      </c>
      <c r="J11" s="15">
        <f>I11-H11</f>
        <v>1581.44</v>
      </c>
      <c r="K11" s="15">
        <v>0</v>
      </c>
      <c r="L11" s="15">
        <v>0</v>
      </c>
      <c r="M11" s="15">
        <f t="shared" ref="M11:M18" si="5">E11*0.105</f>
        <v>1050</v>
      </c>
      <c r="N11" s="15">
        <f t="shared" ref="N11:N16" si="6">SUM(J11:M11)</f>
        <v>2631.44</v>
      </c>
      <c r="O11" s="18">
        <f t="shared" ref="O11:O18" si="7">G11-N11</f>
        <v>7368.5599999999995</v>
      </c>
      <c r="P11" s="10">
        <v>796.52</v>
      </c>
      <c r="Q11" s="10">
        <v>1650</v>
      </c>
      <c r="R11" s="35">
        <f>P11+Q11</f>
        <v>2446.52</v>
      </c>
    </row>
    <row r="12" spans="1:18" x14ac:dyDescent="0.25">
      <c r="B12" t="s">
        <v>33</v>
      </c>
      <c r="C12" s="11" t="s">
        <v>38</v>
      </c>
      <c r="D12" t="s">
        <v>74</v>
      </c>
      <c r="E12" s="15">
        <v>5350</v>
      </c>
      <c r="F12" s="19">
        <v>0</v>
      </c>
      <c r="G12" s="15">
        <f t="shared" ref="G12:G18" si="8">E12+F12</f>
        <v>5350</v>
      </c>
      <c r="H12" s="15">
        <v>0</v>
      </c>
      <c r="I12" s="15">
        <v>588.20000000000005</v>
      </c>
      <c r="J12" s="15">
        <f t="shared" ref="J12:J16" si="9">I12-H12</f>
        <v>588.20000000000005</v>
      </c>
      <c r="K12" s="15">
        <v>0</v>
      </c>
      <c r="L12" s="15">
        <v>0</v>
      </c>
      <c r="M12" s="15">
        <f t="shared" si="5"/>
        <v>561.75</v>
      </c>
      <c r="N12" s="15">
        <f t="shared" si="6"/>
        <v>1149.95</v>
      </c>
      <c r="O12" s="18">
        <f t="shared" si="7"/>
        <v>4200.05</v>
      </c>
      <c r="P12" s="10">
        <v>510.86</v>
      </c>
      <c r="Q12" s="10">
        <v>882.75</v>
      </c>
      <c r="R12" s="35">
        <f>P12+Q12</f>
        <v>1393.6100000000001</v>
      </c>
    </row>
    <row r="13" spans="1:18" x14ac:dyDescent="0.25">
      <c r="B13" t="s">
        <v>34</v>
      </c>
      <c r="C13" t="s">
        <v>141</v>
      </c>
      <c r="D13" t="s">
        <v>75</v>
      </c>
      <c r="E13" s="21">
        <v>5350</v>
      </c>
      <c r="F13" s="3">
        <v>0</v>
      </c>
      <c r="G13" s="15">
        <f t="shared" si="8"/>
        <v>5350</v>
      </c>
      <c r="H13" s="3">
        <v>0</v>
      </c>
      <c r="I13" s="3">
        <v>588.20000000000005</v>
      </c>
      <c r="J13" s="15">
        <f t="shared" si="9"/>
        <v>588.20000000000005</v>
      </c>
      <c r="K13" s="3">
        <v>0</v>
      </c>
      <c r="L13" s="3">
        <v>0</v>
      </c>
      <c r="M13" s="15">
        <f t="shared" si="5"/>
        <v>561.75</v>
      </c>
      <c r="N13" s="15">
        <f t="shared" si="6"/>
        <v>1149.95</v>
      </c>
      <c r="O13" s="18">
        <f t="shared" si="7"/>
        <v>4200.05</v>
      </c>
      <c r="P13" s="27">
        <v>510.86</v>
      </c>
      <c r="Q13" s="27">
        <v>882.75</v>
      </c>
      <c r="R13" s="35">
        <f>P13+Q13</f>
        <v>1393.6100000000001</v>
      </c>
    </row>
    <row r="14" spans="1:18" x14ac:dyDescent="0.25">
      <c r="B14" t="s">
        <v>35</v>
      </c>
      <c r="C14" t="s">
        <v>111</v>
      </c>
      <c r="D14" t="s">
        <v>77</v>
      </c>
      <c r="E14" s="15">
        <v>6000</v>
      </c>
      <c r="F14" s="15">
        <v>0</v>
      </c>
      <c r="G14" s="15">
        <f t="shared" si="8"/>
        <v>6000</v>
      </c>
      <c r="H14" s="15">
        <v>0</v>
      </c>
      <c r="I14" s="15">
        <v>727.04</v>
      </c>
      <c r="J14" s="15">
        <f t="shared" si="9"/>
        <v>727.04</v>
      </c>
      <c r="K14" s="15">
        <v>0</v>
      </c>
      <c r="L14" s="15">
        <v>0</v>
      </c>
      <c r="M14" s="15">
        <f t="shared" si="5"/>
        <v>630</v>
      </c>
      <c r="N14" s="15">
        <f t="shared" si="6"/>
        <v>1357.04</v>
      </c>
      <c r="O14" s="18">
        <f t="shared" si="7"/>
        <v>4642.96</v>
      </c>
      <c r="P14" s="10">
        <v>550.79</v>
      </c>
      <c r="Q14" s="10">
        <v>990</v>
      </c>
      <c r="R14" s="35">
        <f>P14+Q14</f>
        <v>1540.79</v>
      </c>
    </row>
    <row r="15" spans="1:18" x14ac:dyDescent="0.25">
      <c r="B15" t="s">
        <v>36</v>
      </c>
      <c r="C15" t="s">
        <v>86</v>
      </c>
      <c r="D15" t="s">
        <v>39</v>
      </c>
      <c r="E15" s="15">
        <v>4500</v>
      </c>
      <c r="F15" s="15">
        <v>0</v>
      </c>
      <c r="G15" s="15">
        <f t="shared" si="8"/>
        <v>4500</v>
      </c>
      <c r="H15" s="15">
        <v>0</v>
      </c>
      <c r="I15" s="15">
        <v>428.97</v>
      </c>
      <c r="J15" s="15">
        <f t="shared" si="9"/>
        <v>428.97</v>
      </c>
      <c r="K15" s="15">
        <v>0</v>
      </c>
      <c r="L15" s="15">
        <v>0</v>
      </c>
      <c r="M15" s="15">
        <f t="shared" si="5"/>
        <v>472.5</v>
      </c>
      <c r="N15" s="15">
        <f t="shared" si="6"/>
        <v>901.47</v>
      </c>
      <c r="O15" s="18">
        <f t="shared" si="7"/>
        <v>3598.5299999999997</v>
      </c>
      <c r="P15" s="10">
        <v>489.36</v>
      </c>
      <c r="Q15" s="10">
        <v>825</v>
      </c>
      <c r="R15" s="35">
        <f>P15+Q15</f>
        <v>1314.3600000000001</v>
      </c>
    </row>
    <row r="16" spans="1:18" x14ac:dyDescent="0.25">
      <c r="B16" t="s">
        <v>115</v>
      </c>
      <c r="C16" t="s">
        <v>87</v>
      </c>
      <c r="D16" t="s">
        <v>39</v>
      </c>
      <c r="E16" s="15">
        <v>4500</v>
      </c>
      <c r="F16" s="15">
        <v>0</v>
      </c>
      <c r="G16" s="15">
        <f t="shared" si="8"/>
        <v>4500</v>
      </c>
      <c r="H16" s="15">
        <v>0</v>
      </c>
      <c r="I16" s="15">
        <v>428.97</v>
      </c>
      <c r="J16" s="15">
        <f t="shared" si="9"/>
        <v>428.97</v>
      </c>
      <c r="K16" s="15">
        <v>0</v>
      </c>
      <c r="L16" s="15">
        <v>0</v>
      </c>
      <c r="M16" s="15">
        <f t="shared" si="5"/>
        <v>472.5</v>
      </c>
      <c r="N16" s="15">
        <f t="shared" si="6"/>
        <v>901.47</v>
      </c>
      <c r="O16" s="18">
        <f t="shared" si="7"/>
        <v>3598.5299999999997</v>
      </c>
      <c r="P16" s="10">
        <v>458.64</v>
      </c>
      <c r="Q16" s="10">
        <v>742.5</v>
      </c>
      <c r="R16" s="35">
        <f t="shared" ref="R16:R18" si="10">P16+Q16</f>
        <v>1201.1399999999999</v>
      </c>
    </row>
    <row r="17" spans="1:18" x14ac:dyDescent="0.25">
      <c r="B17" t="s">
        <v>116</v>
      </c>
      <c r="C17" t="s">
        <v>89</v>
      </c>
      <c r="D17" t="s">
        <v>4</v>
      </c>
      <c r="E17" s="15">
        <v>2700</v>
      </c>
      <c r="F17" s="15">
        <v>0</v>
      </c>
      <c r="G17" s="15">
        <f t="shared" si="8"/>
        <v>2700</v>
      </c>
      <c r="H17" s="15">
        <v>147.32</v>
      </c>
      <c r="I17" s="15">
        <v>188.33</v>
      </c>
      <c r="J17" s="15">
        <f>I17-H17</f>
        <v>41.010000000000019</v>
      </c>
      <c r="K17" s="15">
        <v>0</v>
      </c>
      <c r="L17" s="15">
        <v>0</v>
      </c>
      <c r="M17" s="15">
        <f t="shared" si="5"/>
        <v>283.5</v>
      </c>
      <c r="N17" s="15">
        <f>SUM(J17:M17)</f>
        <v>324.51</v>
      </c>
      <c r="O17" s="18">
        <f t="shared" si="7"/>
        <v>2375.4899999999998</v>
      </c>
      <c r="P17" s="10">
        <v>348.07</v>
      </c>
      <c r="Q17" s="10">
        <v>445.5</v>
      </c>
      <c r="R17" s="35">
        <f t="shared" si="10"/>
        <v>793.56999999999994</v>
      </c>
    </row>
    <row r="18" spans="1:18" x14ac:dyDescent="0.25">
      <c r="B18" t="s">
        <v>117</v>
      </c>
      <c r="C18" t="s">
        <v>88</v>
      </c>
      <c r="D18" t="s">
        <v>40</v>
      </c>
      <c r="E18" s="15">
        <v>3150</v>
      </c>
      <c r="F18" s="15">
        <v>0</v>
      </c>
      <c r="G18" s="15">
        <f t="shared" si="8"/>
        <v>3150</v>
      </c>
      <c r="H18" s="15">
        <v>126.77</v>
      </c>
      <c r="I18" s="15">
        <v>237.29</v>
      </c>
      <c r="J18" s="15">
        <f>I18-H18</f>
        <v>110.52</v>
      </c>
      <c r="K18" s="15">
        <v>0</v>
      </c>
      <c r="L18" s="15">
        <v>0</v>
      </c>
      <c r="M18" s="15">
        <f t="shared" si="5"/>
        <v>330.75</v>
      </c>
      <c r="N18" s="15">
        <f>SUM(J18:M18)</f>
        <v>441.27</v>
      </c>
      <c r="O18" s="18">
        <f t="shared" si="7"/>
        <v>2708.73</v>
      </c>
      <c r="P18" s="10">
        <v>375.71</v>
      </c>
      <c r="Q18" s="10">
        <v>519.75</v>
      </c>
      <c r="R18" s="35">
        <f t="shared" si="10"/>
        <v>895.46</v>
      </c>
    </row>
    <row r="19" spans="1:18" x14ac:dyDescent="0.25">
      <c r="A19" t="s">
        <v>136</v>
      </c>
      <c r="B19" s="2" t="s">
        <v>26</v>
      </c>
      <c r="E19" s="34">
        <f t="shared" ref="E19:R19" si="11">SUM(E11:E18)</f>
        <v>41550</v>
      </c>
      <c r="F19" s="34">
        <f t="shared" si="11"/>
        <v>0</v>
      </c>
      <c r="G19" s="34">
        <f t="shared" si="11"/>
        <v>41550</v>
      </c>
      <c r="H19" s="34">
        <f t="shared" si="11"/>
        <v>274.08999999999997</v>
      </c>
      <c r="I19" s="34">
        <f t="shared" si="11"/>
        <v>4768.4400000000005</v>
      </c>
      <c r="J19" s="34">
        <f t="shared" si="11"/>
        <v>4494.3500000000013</v>
      </c>
      <c r="K19" s="34">
        <f t="shared" si="11"/>
        <v>0</v>
      </c>
      <c r="L19" s="34">
        <f t="shared" si="11"/>
        <v>0</v>
      </c>
      <c r="M19" s="34">
        <f t="shared" si="11"/>
        <v>4362.75</v>
      </c>
      <c r="N19" s="34">
        <f t="shared" si="11"/>
        <v>8857.1</v>
      </c>
      <c r="O19" s="34">
        <f t="shared" si="11"/>
        <v>32692.899999999998</v>
      </c>
      <c r="P19" s="34">
        <f t="shared" si="11"/>
        <v>4040.8100000000004</v>
      </c>
      <c r="Q19" s="34">
        <f t="shared" si="11"/>
        <v>6938.25</v>
      </c>
      <c r="R19" s="34">
        <f t="shared" si="11"/>
        <v>10979.059999999998</v>
      </c>
    </row>
    <row r="20" spans="1:18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8" x14ac:dyDescent="0.25">
      <c r="B21" s="2" t="s">
        <v>43</v>
      </c>
      <c r="C21" s="2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8" x14ac:dyDescent="0.25">
      <c r="B22" t="s">
        <v>118</v>
      </c>
      <c r="C22" t="s">
        <v>90</v>
      </c>
      <c r="D2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I22-H22</f>
        <v>0</v>
      </c>
      <c r="K22" s="15">
        <v>0</v>
      </c>
      <c r="L22" s="15">
        <v>0</v>
      </c>
      <c r="M22" s="15">
        <f>E22*0.105</f>
        <v>0</v>
      </c>
      <c r="N22" s="15">
        <f>SUM(J22:M22)</f>
        <v>0</v>
      </c>
      <c r="O22" s="18">
        <v>0</v>
      </c>
      <c r="P22" s="36">
        <v>0</v>
      </c>
      <c r="Q22" s="36">
        <v>0</v>
      </c>
      <c r="R22" s="35">
        <v>0</v>
      </c>
    </row>
    <row r="23" spans="1:18" x14ac:dyDescent="0.25">
      <c r="B23" t="s">
        <v>119</v>
      </c>
      <c r="C23" t="s">
        <v>91</v>
      </c>
      <c r="D23" t="s">
        <v>76</v>
      </c>
      <c r="E23" s="15">
        <v>5350</v>
      </c>
      <c r="F23" s="15">
        <v>0</v>
      </c>
      <c r="G23" s="15">
        <f>E23+F23</f>
        <v>5350</v>
      </c>
      <c r="H23" s="15">
        <v>0</v>
      </c>
      <c r="I23" s="15">
        <v>588.20000000000005</v>
      </c>
      <c r="J23" s="15">
        <f>I23-H23</f>
        <v>588.20000000000005</v>
      </c>
      <c r="K23" s="15">
        <v>0</v>
      </c>
      <c r="L23" s="15">
        <v>0</v>
      </c>
      <c r="M23" s="15">
        <f>E23*0.105</f>
        <v>561.75</v>
      </c>
      <c r="N23" s="15">
        <f>SUM(J23:M23)</f>
        <v>1149.95</v>
      </c>
      <c r="O23" s="18">
        <f>G23-N23</f>
        <v>4200.05</v>
      </c>
      <c r="P23" s="10">
        <v>510.86</v>
      </c>
      <c r="Q23" s="10">
        <v>882.75</v>
      </c>
      <c r="R23" s="35">
        <f>P23+Q23</f>
        <v>1393.6100000000001</v>
      </c>
    </row>
    <row r="24" spans="1:18" x14ac:dyDescent="0.25">
      <c r="A24" t="s">
        <v>134</v>
      </c>
      <c r="B24" s="2" t="s">
        <v>26</v>
      </c>
      <c r="E24" s="34">
        <f>SUM(E22:E23)</f>
        <v>5350</v>
      </c>
      <c r="F24" s="34">
        <f>F23</f>
        <v>0</v>
      </c>
      <c r="G24" s="34">
        <f>SUM(G22:G23)</f>
        <v>5350</v>
      </c>
      <c r="H24" s="34">
        <f t="shared" ref="H24:R24" si="12">SUM(H22:H23)</f>
        <v>0</v>
      </c>
      <c r="I24" s="34">
        <f t="shared" si="12"/>
        <v>588.20000000000005</v>
      </c>
      <c r="J24" s="34">
        <f t="shared" si="12"/>
        <v>588.20000000000005</v>
      </c>
      <c r="K24" s="34">
        <f t="shared" si="12"/>
        <v>0</v>
      </c>
      <c r="L24" s="34">
        <f t="shared" si="12"/>
        <v>0</v>
      </c>
      <c r="M24" s="34">
        <f t="shared" si="12"/>
        <v>561.75</v>
      </c>
      <c r="N24" s="34">
        <f t="shared" si="12"/>
        <v>1149.95</v>
      </c>
      <c r="O24" s="34">
        <f t="shared" si="12"/>
        <v>4200.05</v>
      </c>
      <c r="P24" s="34">
        <f t="shared" si="12"/>
        <v>510.86</v>
      </c>
      <c r="Q24" s="34">
        <f t="shared" si="12"/>
        <v>882.75</v>
      </c>
      <c r="R24" s="34">
        <f t="shared" si="12"/>
        <v>1393.6100000000001</v>
      </c>
    </row>
    <row r="25" spans="1:18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8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8" x14ac:dyDescent="0.25">
      <c r="B27" t="s">
        <v>120</v>
      </c>
      <c r="C27" t="s">
        <v>93</v>
      </c>
      <c r="D27" t="s">
        <v>78</v>
      </c>
      <c r="E27" s="15">
        <v>5350</v>
      </c>
      <c r="F27" s="15">
        <v>0</v>
      </c>
      <c r="G27" s="15">
        <f>E27+F27</f>
        <v>5350</v>
      </c>
      <c r="H27" s="15">
        <v>0</v>
      </c>
      <c r="I27" s="15">
        <v>588.20000000000005</v>
      </c>
      <c r="J27" s="15">
        <f>I27-H27</f>
        <v>588.20000000000005</v>
      </c>
      <c r="K27" s="15">
        <v>0</v>
      </c>
      <c r="L27" s="15">
        <v>0</v>
      </c>
      <c r="M27" s="15">
        <f>E27*0.105</f>
        <v>561.75</v>
      </c>
      <c r="N27" s="15">
        <f>SUM(J27:M27)</f>
        <v>1149.95</v>
      </c>
      <c r="O27" s="18">
        <f>G27-N27</f>
        <v>4200.05</v>
      </c>
      <c r="P27" s="10">
        <v>510.86</v>
      </c>
      <c r="Q27" s="10">
        <v>882.75</v>
      </c>
      <c r="R27" s="35">
        <f>P27+Q27</f>
        <v>1393.6100000000001</v>
      </c>
    </row>
    <row r="28" spans="1:18" x14ac:dyDescent="0.25">
      <c r="B28" t="s">
        <v>121</v>
      </c>
      <c r="C28" t="s">
        <v>114</v>
      </c>
      <c r="D28" t="s">
        <v>79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f>I28-H28</f>
        <v>588.20000000000005</v>
      </c>
      <c r="K28" s="15">
        <v>0</v>
      </c>
      <c r="L28" s="15">
        <v>0</v>
      </c>
      <c r="M28" s="15">
        <f>E28*0.105</f>
        <v>561.75</v>
      </c>
      <c r="N28" s="15">
        <f>SUM(J28:M28)</f>
        <v>1149.95</v>
      </c>
      <c r="O28" s="18">
        <f>G28-N28</f>
        <v>4200.05</v>
      </c>
      <c r="P28" s="10">
        <v>510.86</v>
      </c>
      <c r="Q28" s="10">
        <v>882.75</v>
      </c>
      <c r="R28" s="35">
        <f>P28+Q28</f>
        <v>1393.6100000000001</v>
      </c>
    </row>
    <row r="29" spans="1:18" x14ac:dyDescent="0.25">
      <c r="A29" t="s">
        <v>137</v>
      </c>
      <c r="B29" s="2" t="s">
        <v>26</v>
      </c>
      <c r="E29" s="34">
        <f>SUM(E27:E28)</f>
        <v>10700</v>
      </c>
      <c r="F29" s="34">
        <f>SUM(F27:F28)</f>
        <v>0</v>
      </c>
      <c r="G29" s="34">
        <f>SUM(G27:G28)</f>
        <v>10700</v>
      </c>
      <c r="H29" s="34">
        <f t="shared" ref="H29:R29" si="13">SUM(H27:H28)</f>
        <v>0</v>
      </c>
      <c r="I29" s="34">
        <f t="shared" si="13"/>
        <v>1176.4000000000001</v>
      </c>
      <c r="J29" s="34">
        <f t="shared" si="13"/>
        <v>1176.4000000000001</v>
      </c>
      <c r="K29" s="34">
        <f t="shared" si="13"/>
        <v>0</v>
      </c>
      <c r="L29" s="34">
        <f t="shared" si="13"/>
        <v>0</v>
      </c>
      <c r="M29" s="34">
        <f t="shared" si="13"/>
        <v>1123.5</v>
      </c>
      <c r="N29" s="34">
        <f t="shared" si="13"/>
        <v>2299.9</v>
      </c>
      <c r="O29" s="34">
        <f t="shared" si="13"/>
        <v>8400.1</v>
      </c>
      <c r="P29" s="34">
        <f t="shared" si="13"/>
        <v>1021.72</v>
      </c>
      <c r="Q29" s="34">
        <f t="shared" si="13"/>
        <v>1765.5</v>
      </c>
      <c r="R29" s="34">
        <f t="shared" si="13"/>
        <v>2787.2200000000003</v>
      </c>
    </row>
    <row r="30" spans="1:18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8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8" x14ac:dyDescent="0.25">
      <c r="B32" t="s">
        <v>122</v>
      </c>
      <c r="C32" t="s">
        <v>97</v>
      </c>
      <c r="D32" t="s">
        <v>80</v>
      </c>
      <c r="E32" s="15">
        <v>5350</v>
      </c>
      <c r="F32" s="15">
        <v>0</v>
      </c>
      <c r="G32" s="15">
        <f>E32+F32</f>
        <v>5350</v>
      </c>
      <c r="H32" s="15">
        <v>0</v>
      </c>
      <c r="I32" s="15">
        <v>588.20000000000005</v>
      </c>
      <c r="J32" s="15">
        <f>I32-H32</f>
        <v>588.20000000000005</v>
      </c>
      <c r="K32" s="15">
        <v>0</v>
      </c>
      <c r="L32" s="15">
        <v>0</v>
      </c>
      <c r="M32" s="15">
        <f t="shared" ref="M32:M42" si="14">E32*0.105</f>
        <v>561.75</v>
      </c>
      <c r="N32" s="15">
        <f>SUM(J32:M32)</f>
        <v>1149.95</v>
      </c>
      <c r="O32" s="18">
        <f t="shared" ref="O32:O42" si="15">G32-N32</f>
        <v>4200.05</v>
      </c>
      <c r="P32" s="10">
        <v>510.86</v>
      </c>
      <c r="Q32" s="10">
        <v>882.75</v>
      </c>
      <c r="R32" s="35">
        <f t="shared" ref="R32:R42" si="16">P32+Q32</f>
        <v>1393.6100000000001</v>
      </c>
    </row>
    <row r="33" spans="1:18" x14ac:dyDescent="0.25">
      <c r="B33" t="s">
        <v>123</v>
      </c>
      <c r="C33" t="s">
        <v>100</v>
      </c>
      <c r="D33" t="s">
        <v>80</v>
      </c>
      <c r="E33" s="15">
        <v>5350</v>
      </c>
      <c r="F33" s="15">
        <v>0</v>
      </c>
      <c r="G33" s="15">
        <f t="shared" ref="G33:G42" si="17">E33+F33</f>
        <v>5350</v>
      </c>
      <c r="H33" s="15">
        <v>0</v>
      </c>
      <c r="I33" s="15">
        <v>588.20000000000005</v>
      </c>
      <c r="J33" s="15">
        <f t="shared" ref="J33:J42" si="18">I33-H33</f>
        <v>588.20000000000005</v>
      </c>
      <c r="K33" s="15">
        <v>0</v>
      </c>
      <c r="L33" s="15">
        <v>0</v>
      </c>
      <c r="M33" s="15">
        <f t="shared" si="14"/>
        <v>561.75</v>
      </c>
      <c r="N33" s="15">
        <f t="shared" ref="N33:N42" si="19">SUM(J33:M33)</f>
        <v>1149.95</v>
      </c>
      <c r="O33" s="18">
        <f t="shared" si="15"/>
        <v>4200.05</v>
      </c>
      <c r="P33" s="10">
        <v>510.86</v>
      </c>
      <c r="Q33" s="10">
        <v>882.75</v>
      </c>
      <c r="R33" s="35">
        <f t="shared" si="16"/>
        <v>1393.6100000000001</v>
      </c>
    </row>
    <row r="34" spans="1:18" x14ac:dyDescent="0.25">
      <c r="B34" t="s">
        <v>124</v>
      </c>
      <c r="C34" t="s">
        <v>96</v>
      </c>
      <c r="D34" t="s">
        <v>78</v>
      </c>
      <c r="E34" s="15">
        <v>5350</v>
      </c>
      <c r="F34" s="15">
        <v>0</v>
      </c>
      <c r="G34" s="15">
        <f t="shared" si="17"/>
        <v>5350</v>
      </c>
      <c r="H34" s="15">
        <v>0</v>
      </c>
      <c r="I34" s="15">
        <v>588.20000000000005</v>
      </c>
      <c r="J34" s="15">
        <f t="shared" si="18"/>
        <v>588.20000000000005</v>
      </c>
      <c r="K34" s="15">
        <v>0</v>
      </c>
      <c r="L34" s="15">
        <v>0</v>
      </c>
      <c r="M34" s="15">
        <f t="shared" si="14"/>
        <v>561.75</v>
      </c>
      <c r="N34" s="15">
        <f t="shared" si="19"/>
        <v>1149.95</v>
      </c>
      <c r="O34" s="18">
        <f t="shared" si="15"/>
        <v>4200.05</v>
      </c>
      <c r="P34" s="10">
        <v>510.86</v>
      </c>
      <c r="Q34" s="10">
        <v>882.75</v>
      </c>
      <c r="R34" s="35">
        <f t="shared" si="16"/>
        <v>1393.6100000000001</v>
      </c>
    </row>
    <row r="35" spans="1:18" x14ac:dyDescent="0.25">
      <c r="B35" t="s">
        <v>125</v>
      </c>
      <c r="C35" t="s">
        <v>104</v>
      </c>
      <c r="D35" t="s">
        <v>78</v>
      </c>
      <c r="E35" s="15">
        <v>5350</v>
      </c>
      <c r="F35" s="15">
        <v>0</v>
      </c>
      <c r="G35" s="15">
        <f t="shared" si="17"/>
        <v>5350</v>
      </c>
      <c r="H35" s="15">
        <v>0</v>
      </c>
      <c r="I35" s="15">
        <v>588.20000000000005</v>
      </c>
      <c r="J35" s="15">
        <f t="shared" si="18"/>
        <v>588.20000000000005</v>
      </c>
      <c r="K35" s="15">
        <v>0</v>
      </c>
      <c r="L35" s="15">
        <v>0</v>
      </c>
      <c r="M35" s="15">
        <f t="shared" si="14"/>
        <v>561.75</v>
      </c>
      <c r="N35" s="15">
        <f t="shared" si="19"/>
        <v>1149.95</v>
      </c>
      <c r="O35" s="18">
        <f t="shared" si="15"/>
        <v>4200.05</v>
      </c>
      <c r="P35" s="10">
        <v>510.86</v>
      </c>
      <c r="Q35" s="10">
        <v>882.75</v>
      </c>
      <c r="R35" s="35">
        <f t="shared" si="16"/>
        <v>1393.6100000000001</v>
      </c>
    </row>
    <row r="36" spans="1:18" x14ac:dyDescent="0.25">
      <c r="B36" t="s">
        <v>126</v>
      </c>
      <c r="C36" t="s">
        <v>94</v>
      </c>
      <c r="D36" t="s">
        <v>81</v>
      </c>
      <c r="E36" s="15">
        <v>5350</v>
      </c>
      <c r="F36" s="15">
        <v>0</v>
      </c>
      <c r="G36" s="15">
        <f t="shared" si="17"/>
        <v>5350</v>
      </c>
      <c r="H36" s="15">
        <v>0</v>
      </c>
      <c r="I36" s="15">
        <v>588.20000000000005</v>
      </c>
      <c r="J36" s="15">
        <f t="shared" si="18"/>
        <v>588.20000000000005</v>
      </c>
      <c r="K36" s="15">
        <v>0</v>
      </c>
      <c r="L36" s="15">
        <v>0</v>
      </c>
      <c r="M36" s="15">
        <f t="shared" si="14"/>
        <v>561.75</v>
      </c>
      <c r="N36" s="15">
        <f t="shared" si="19"/>
        <v>1149.95</v>
      </c>
      <c r="O36" s="18">
        <f t="shared" si="15"/>
        <v>4200.05</v>
      </c>
      <c r="P36" s="10">
        <v>510.86</v>
      </c>
      <c r="Q36" s="10">
        <v>882.75</v>
      </c>
      <c r="R36" s="35">
        <f t="shared" si="16"/>
        <v>1393.6100000000001</v>
      </c>
    </row>
    <row r="37" spans="1:18" x14ac:dyDescent="0.25">
      <c r="B37" t="s">
        <v>127</v>
      </c>
      <c r="C37" t="s">
        <v>98</v>
      </c>
      <c r="D37" t="s">
        <v>81</v>
      </c>
      <c r="E37" s="15">
        <v>5350</v>
      </c>
      <c r="F37" s="15">
        <v>0</v>
      </c>
      <c r="G37" s="15">
        <f t="shared" si="17"/>
        <v>5350</v>
      </c>
      <c r="H37" s="15">
        <v>0</v>
      </c>
      <c r="I37" s="15">
        <v>588.20000000000005</v>
      </c>
      <c r="J37" s="15">
        <f t="shared" si="18"/>
        <v>588.20000000000005</v>
      </c>
      <c r="K37" s="15">
        <v>0</v>
      </c>
      <c r="L37" s="15">
        <v>0</v>
      </c>
      <c r="M37" s="15">
        <f t="shared" si="14"/>
        <v>561.75</v>
      </c>
      <c r="N37" s="15">
        <f t="shared" si="19"/>
        <v>1149.95</v>
      </c>
      <c r="O37" s="18">
        <f t="shared" si="15"/>
        <v>4200.05</v>
      </c>
      <c r="P37" s="10">
        <v>510.86</v>
      </c>
      <c r="Q37" s="10">
        <v>882.75</v>
      </c>
      <c r="R37" s="35">
        <f t="shared" si="16"/>
        <v>1393.6100000000001</v>
      </c>
    </row>
    <row r="38" spans="1:18" x14ac:dyDescent="0.25">
      <c r="B38" t="s">
        <v>128</v>
      </c>
      <c r="C38" t="s">
        <v>101</v>
      </c>
      <c r="D38" t="s">
        <v>81</v>
      </c>
      <c r="E38" s="15">
        <v>5350</v>
      </c>
      <c r="F38" s="15">
        <v>0</v>
      </c>
      <c r="G38" s="15">
        <f t="shared" si="17"/>
        <v>5350</v>
      </c>
      <c r="H38" s="15">
        <v>0</v>
      </c>
      <c r="I38" s="15">
        <v>588.20000000000005</v>
      </c>
      <c r="J38" s="15">
        <f t="shared" si="18"/>
        <v>588.20000000000005</v>
      </c>
      <c r="K38" s="15">
        <v>0</v>
      </c>
      <c r="L38" s="15">
        <v>0</v>
      </c>
      <c r="M38" s="15">
        <f t="shared" si="14"/>
        <v>561.75</v>
      </c>
      <c r="N38" s="15">
        <f t="shared" si="19"/>
        <v>1149.95</v>
      </c>
      <c r="O38" s="18">
        <f t="shared" si="15"/>
        <v>4200.05</v>
      </c>
      <c r="P38" s="10">
        <v>510.86</v>
      </c>
      <c r="Q38" s="10">
        <v>882.75</v>
      </c>
      <c r="R38" s="35">
        <f t="shared" si="16"/>
        <v>1393.6100000000001</v>
      </c>
    </row>
    <row r="39" spans="1:18" x14ac:dyDescent="0.25">
      <c r="B39" t="s">
        <v>129</v>
      </c>
      <c r="C39" t="s">
        <v>95</v>
      </c>
      <c r="D39" t="s">
        <v>82</v>
      </c>
      <c r="E39" s="15">
        <v>5350</v>
      </c>
      <c r="F39" s="15">
        <v>0</v>
      </c>
      <c r="G39" s="15">
        <f t="shared" si="17"/>
        <v>5350</v>
      </c>
      <c r="H39" s="15">
        <v>0</v>
      </c>
      <c r="I39" s="15">
        <v>588.20000000000005</v>
      </c>
      <c r="J39" s="15">
        <f t="shared" si="18"/>
        <v>588.20000000000005</v>
      </c>
      <c r="K39" s="15">
        <v>0</v>
      </c>
      <c r="L39" s="15">
        <v>0</v>
      </c>
      <c r="M39" s="15">
        <f t="shared" si="14"/>
        <v>561.75</v>
      </c>
      <c r="N39" s="15">
        <f t="shared" si="19"/>
        <v>1149.95</v>
      </c>
      <c r="O39" s="18">
        <f t="shared" si="15"/>
        <v>4200.05</v>
      </c>
      <c r="P39" s="10">
        <v>510.86</v>
      </c>
      <c r="Q39" s="10">
        <v>882.75</v>
      </c>
      <c r="R39" s="35">
        <f t="shared" si="16"/>
        <v>1393.6100000000001</v>
      </c>
    </row>
    <row r="40" spans="1:18" x14ac:dyDescent="0.25">
      <c r="B40" t="s">
        <v>130</v>
      </c>
      <c r="C40" t="s">
        <v>102</v>
      </c>
      <c r="D40" t="s">
        <v>82</v>
      </c>
      <c r="E40" s="15">
        <v>5350</v>
      </c>
      <c r="F40" s="15">
        <v>0</v>
      </c>
      <c r="G40" s="15">
        <f t="shared" si="17"/>
        <v>5350</v>
      </c>
      <c r="H40" s="15">
        <v>0</v>
      </c>
      <c r="I40" s="15">
        <v>588.20000000000005</v>
      </c>
      <c r="J40" s="15">
        <f t="shared" si="18"/>
        <v>588.20000000000005</v>
      </c>
      <c r="K40" s="15">
        <v>0</v>
      </c>
      <c r="L40" s="15">
        <v>0</v>
      </c>
      <c r="M40" s="15">
        <f t="shared" si="14"/>
        <v>561.75</v>
      </c>
      <c r="N40" s="15">
        <f t="shared" si="19"/>
        <v>1149.95</v>
      </c>
      <c r="O40" s="18">
        <f t="shared" si="15"/>
        <v>4200.05</v>
      </c>
      <c r="P40" s="10">
        <v>510.86</v>
      </c>
      <c r="Q40" s="10">
        <v>882.75</v>
      </c>
      <c r="R40" s="35">
        <f t="shared" si="16"/>
        <v>1393.6100000000001</v>
      </c>
    </row>
    <row r="41" spans="1:18" x14ac:dyDescent="0.25">
      <c r="B41" t="s">
        <v>131</v>
      </c>
      <c r="C41" t="s">
        <v>85</v>
      </c>
      <c r="D41" t="s">
        <v>83</v>
      </c>
      <c r="E41" s="15">
        <v>5350</v>
      </c>
      <c r="F41" s="15">
        <v>0</v>
      </c>
      <c r="G41" s="15">
        <f t="shared" si="17"/>
        <v>5350</v>
      </c>
      <c r="H41" s="15">
        <v>0</v>
      </c>
      <c r="I41" s="15">
        <v>588.20000000000005</v>
      </c>
      <c r="J41" s="15">
        <f t="shared" si="18"/>
        <v>588.20000000000005</v>
      </c>
      <c r="K41" s="15">
        <v>0</v>
      </c>
      <c r="L41" s="15">
        <v>0</v>
      </c>
      <c r="M41" s="15">
        <f t="shared" si="14"/>
        <v>561.75</v>
      </c>
      <c r="N41" s="15">
        <f t="shared" si="19"/>
        <v>1149.95</v>
      </c>
      <c r="O41" s="18">
        <f t="shared" si="15"/>
        <v>4200.05</v>
      </c>
      <c r="P41" s="10">
        <v>510.86</v>
      </c>
      <c r="Q41" s="10">
        <v>882.75</v>
      </c>
      <c r="R41" s="35">
        <f t="shared" si="16"/>
        <v>1393.6100000000001</v>
      </c>
    </row>
    <row r="42" spans="1:18" x14ac:dyDescent="0.25">
      <c r="B42" t="s">
        <v>132</v>
      </c>
      <c r="C42" t="s">
        <v>103</v>
      </c>
      <c r="D42" t="s">
        <v>83</v>
      </c>
      <c r="E42" s="15">
        <v>5350</v>
      </c>
      <c r="F42" s="15">
        <v>0</v>
      </c>
      <c r="G42" s="15">
        <f t="shared" si="17"/>
        <v>5350</v>
      </c>
      <c r="H42" s="15">
        <v>0</v>
      </c>
      <c r="I42" s="15">
        <v>588.20000000000005</v>
      </c>
      <c r="J42" s="15">
        <f t="shared" si="18"/>
        <v>588.20000000000005</v>
      </c>
      <c r="K42" s="15">
        <v>0</v>
      </c>
      <c r="L42" s="15">
        <v>0</v>
      </c>
      <c r="M42" s="15">
        <f t="shared" si="14"/>
        <v>561.75</v>
      </c>
      <c r="N42" s="15">
        <f t="shared" si="19"/>
        <v>1149.95</v>
      </c>
      <c r="O42" s="18">
        <f t="shared" si="15"/>
        <v>4200.05</v>
      </c>
      <c r="P42" s="10">
        <v>510.86</v>
      </c>
      <c r="Q42" s="10">
        <v>882.75</v>
      </c>
      <c r="R42" s="35">
        <f t="shared" si="16"/>
        <v>1393.6100000000001</v>
      </c>
    </row>
    <row r="43" spans="1:18" x14ac:dyDescent="0.25">
      <c r="A43" t="s">
        <v>138</v>
      </c>
      <c r="B43" s="2" t="s">
        <v>26</v>
      </c>
      <c r="E43" s="34">
        <f>SUM(E32:E42)</f>
        <v>58850</v>
      </c>
      <c r="F43" s="34">
        <f>SUM(F32:F42)</f>
        <v>0</v>
      </c>
      <c r="G43" s="34">
        <f>SUM(G32:G42)</f>
        <v>58850</v>
      </c>
      <c r="H43" s="34">
        <f t="shared" ref="H43:R43" si="20">SUM(H32:H42)</f>
        <v>0</v>
      </c>
      <c r="I43" s="34">
        <f t="shared" si="20"/>
        <v>6470.1999999999989</v>
      </c>
      <c r="J43" s="34">
        <f t="shared" si="20"/>
        <v>6470.1999999999989</v>
      </c>
      <c r="K43" s="34">
        <f t="shared" si="20"/>
        <v>0</v>
      </c>
      <c r="L43" s="34">
        <f t="shared" si="20"/>
        <v>0</v>
      </c>
      <c r="M43" s="34">
        <f t="shared" si="20"/>
        <v>6179.25</v>
      </c>
      <c r="N43" s="34">
        <f t="shared" si="20"/>
        <v>12649.450000000003</v>
      </c>
      <c r="O43" s="34">
        <f t="shared" si="20"/>
        <v>46200.55000000001</v>
      </c>
      <c r="P43" s="34">
        <f t="shared" si="20"/>
        <v>5619.46</v>
      </c>
      <c r="Q43" s="34">
        <f t="shared" si="20"/>
        <v>9710.25</v>
      </c>
      <c r="R43" s="34">
        <f t="shared" si="20"/>
        <v>15329.710000000005</v>
      </c>
    </row>
    <row r="44" spans="1:18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8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8" x14ac:dyDescent="0.25">
      <c r="B46" t="s">
        <v>133</v>
      </c>
      <c r="C46" t="s">
        <v>99</v>
      </c>
      <c r="D46" t="s">
        <v>80</v>
      </c>
      <c r="E46" s="15">
        <v>5350</v>
      </c>
      <c r="F46" s="15">
        <v>0</v>
      </c>
      <c r="G46" s="15">
        <f>E46+F46</f>
        <v>5350</v>
      </c>
      <c r="H46" s="15">
        <v>0</v>
      </c>
      <c r="I46" s="15">
        <v>588.20000000000005</v>
      </c>
      <c r="J46" s="15">
        <f>I46-H46</f>
        <v>588.20000000000005</v>
      </c>
      <c r="K46" s="15">
        <v>0</v>
      </c>
      <c r="L46" s="15">
        <v>0</v>
      </c>
      <c r="M46" s="15">
        <f>E46*0.105</f>
        <v>561.75</v>
      </c>
      <c r="N46" s="15">
        <f>SUM(J46:M46)</f>
        <v>1149.95</v>
      </c>
      <c r="O46" s="18">
        <f>G46-N46</f>
        <v>4200.05</v>
      </c>
      <c r="P46" s="10">
        <v>510.86</v>
      </c>
      <c r="Q46" s="10">
        <v>882.75</v>
      </c>
      <c r="R46" s="35">
        <f t="shared" ref="R46" si="21">P46+Q46</f>
        <v>1393.6100000000001</v>
      </c>
    </row>
    <row r="47" spans="1:18" x14ac:dyDescent="0.25">
      <c r="A47" t="s">
        <v>139</v>
      </c>
      <c r="B47" s="2" t="s">
        <v>26</v>
      </c>
      <c r="E47" s="34">
        <f>E46</f>
        <v>5350</v>
      </c>
      <c r="F47" s="34">
        <f>F46</f>
        <v>0</v>
      </c>
      <c r="G47" s="34">
        <f>G46</f>
        <v>5350</v>
      </c>
      <c r="H47" s="34">
        <f t="shared" ref="H47:R47" si="22">H46</f>
        <v>0</v>
      </c>
      <c r="I47" s="34">
        <f t="shared" si="22"/>
        <v>588.20000000000005</v>
      </c>
      <c r="J47" s="34">
        <f t="shared" si="22"/>
        <v>588.20000000000005</v>
      </c>
      <c r="K47" s="34">
        <f t="shared" si="22"/>
        <v>0</v>
      </c>
      <c r="L47" s="34">
        <f t="shared" si="22"/>
        <v>0</v>
      </c>
      <c r="M47" s="34">
        <f t="shared" si="22"/>
        <v>561.75</v>
      </c>
      <c r="N47" s="34">
        <f t="shared" si="22"/>
        <v>1149.95</v>
      </c>
      <c r="O47" s="34">
        <f t="shared" si="22"/>
        <v>4200.05</v>
      </c>
      <c r="P47" s="34">
        <f t="shared" si="22"/>
        <v>510.86</v>
      </c>
      <c r="Q47" s="34">
        <f t="shared" si="22"/>
        <v>882.75</v>
      </c>
      <c r="R47" s="34">
        <f t="shared" si="22"/>
        <v>1393.6100000000001</v>
      </c>
    </row>
    <row r="48" spans="1:18" x14ac:dyDescent="0.25">
      <c r="B48" s="2"/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8"/>
      <c r="Q48" s="8"/>
      <c r="R48" s="8"/>
    </row>
    <row r="49" spans="4:18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4:18" ht="18.75" x14ac:dyDescent="0.3">
      <c r="D50" s="4" t="s">
        <v>105</v>
      </c>
      <c r="E50" s="17">
        <f>E8+E19+E24+E29+E43+E47+E48</f>
        <v>153604.95000000001</v>
      </c>
      <c r="F50" s="17">
        <f t="shared" ref="F50:R50" si="23">F8+F19+F24+F29+F43+F47+F48</f>
        <v>0</v>
      </c>
      <c r="G50" s="17">
        <f t="shared" si="23"/>
        <v>153604.95000000001</v>
      </c>
      <c r="H50" s="17">
        <f t="shared" si="23"/>
        <v>274.08999999999997</v>
      </c>
      <c r="I50" s="17">
        <f t="shared" si="23"/>
        <v>18911.5</v>
      </c>
      <c r="J50" s="17">
        <f t="shared" si="23"/>
        <v>18637.41</v>
      </c>
      <c r="K50" s="17">
        <f t="shared" si="23"/>
        <v>0</v>
      </c>
      <c r="L50" s="17">
        <f t="shared" si="23"/>
        <v>0</v>
      </c>
      <c r="M50" s="17">
        <f t="shared" si="23"/>
        <v>16128.519749999999</v>
      </c>
      <c r="N50" s="17">
        <f t="shared" si="23"/>
        <v>34765.929750000003</v>
      </c>
      <c r="O50" s="17">
        <f t="shared" si="23"/>
        <v>118839.02025000002</v>
      </c>
      <c r="P50" s="17">
        <f t="shared" si="23"/>
        <v>14204.14</v>
      </c>
      <c r="Q50" s="17">
        <f t="shared" si="23"/>
        <v>25427.309999999998</v>
      </c>
      <c r="R50" s="17">
        <f t="shared" si="23"/>
        <v>39631.450000000004</v>
      </c>
    </row>
    <row r="53" spans="4:18" ht="15.75" thickBot="1" x14ac:dyDescent="0.3">
      <c r="E53" s="89"/>
      <c r="F53" s="89"/>
      <c r="I53" s="89"/>
      <c r="J53" s="89"/>
      <c r="K53" s="89"/>
    </row>
    <row r="54" spans="4:18" x14ac:dyDescent="0.25">
      <c r="E54" s="91" t="s">
        <v>146</v>
      </c>
      <c r="F54" s="91"/>
      <c r="I54" s="92" t="s">
        <v>145</v>
      </c>
      <c r="J54" s="92"/>
      <c r="K54" s="92"/>
    </row>
    <row r="55" spans="4:18" ht="15.75" x14ac:dyDescent="0.3">
      <c r="E55" s="93" t="s">
        <v>144</v>
      </c>
      <c r="F55" s="91"/>
      <c r="I55" s="93" t="s">
        <v>145</v>
      </c>
      <c r="J55" s="93"/>
      <c r="K55" s="93"/>
    </row>
  </sheetData>
  <mergeCells count="8">
    <mergeCell ref="E54:F54"/>
    <mergeCell ref="I54:K54"/>
    <mergeCell ref="E55:F55"/>
    <mergeCell ref="I55:K55"/>
    <mergeCell ref="C1:D1"/>
    <mergeCell ref="E2:R2"/>
    <mergeCell ref="E53:F53"/>
    <mergeCell ref="I53:K5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F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3" sqref="C13"/>
    </sheetView>
  </sheetViews>
  <sheetFormatPr baseColWidth="10" defaultRowHeight="15" x14ac:dyDescent="0.25"/>
  <cols>
    <col min="3" max="3" width="33.42578125" customWidth="1"/>
    <col min="4" max="4" width="27" customWidth="1"/>
    <col min="5" max="6" width="17" customWidth="1"/>
    <col min="8" max="8" width="15.5703125" customWidth="1"/>
    <col min="10" max="10" width="17.28515625" customWidth="1"/>
    <col min="11" max="11" width="17.42578125" customWidth="1"/>
    <col min="14" max="14" width="15" customWidth="1"/>
    <col min="15" max="15" width="14.5703125" customWidth="1"/>
    <col min="16" max="16" width="16" customWidth="1"/>
    <col min="17" max="17" width="15.28515625" customWidth="1"/>
    <col min="18" max="18" width="17.28515625" customWidth="1"/>
    <col min="19" max="19" width="16.7109375" customWidth="1"/>
  </cols>
  <sheetData>
    <row r="1" spans="1:19" ht="18.75" x14ac:dyDescent="0.25">
      <c r="C1" s="86" t="s">
        <v>149</v>
      </c>
      <c r="D1" s="8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ht="15.75" thickBot="1" x14ac:dyDescent="0.3"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 ht="35.25" thickTop="1" thickBot="1" x14ac:dyDescent="0.3">
      <c r="B3" s="47" t="s">
        <v>9</v>
      </c>
      <c r="C3" s="48" t="s">
        <v>10</v>
      </c>
      <c r="D3" s="48" t="s">
        <v>0</v>
      </c>
      <c r="E3" s="49" t="s">
        <v>11</v>
      </c>
      <c r="F3" s="49" t="s">
        <v>150</v>
      </c>
      <c r="G3" s="50" t="s">
        <v>113</v>
      </c>
      <c r="H3" s="49" t="s">
        <v>12</v>
      </c>
      <c r="I3" s="49" t="s">
        <v>107</v>
      </c>
      <c r="J3" s="49" t="s">
        <v>143</v>
      </c>
      <c r="K3" s="49" t="s">
        <v>13</v>
      </c>
      <c r="L3" s="49" t="s">
        <v>15</v>
      </c>
      <c r="M3" s="49" t="s">
        <v>106</v>
      </c>
      <c r="N3" s="49" t="s">
        <v>16</v>
      </c>
      <c r="O3" s="49" t="s">
        <v>17</v>
      </c>
      <c r="P3" s="49" t="s">
        <v>72</v>
      </c>
      <c r="Q3" s="48" t="s">
        <v>8</v>
      </c>
      <c r="R3" s="48" t="s">
        <v>18</v>
      </c>
      <c r="S3" s="51" t="s">
        <v>73</v>
      </c>
    </row>
    <row r="4" spans="1:19" ht="15.75" thickTop="1" x14ac:dyDescent="0.25">
      <c r="B4" s="2" t="s">
        <v>19</v>
      </c>
      <c r="C4" s="2" t="s">
        <v>20</v>
      </c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x14ac:dyDescent="0.25">
      <c r="B5" t="s">
        <v>21</v>
      </c>
      <c r="C5" s="11" t="s">
        <v>22</v>
      </c>
      <c r="D5" t="s">
        <v>25</v>
      </c>
      <c r="E5" s="15">
        <v>16954.95</v>
      </c>
      <c r="F5" s="28">
        <v>15</v>
      </c>
      <c r="G5" s="15">
        <v>0</v>
      </c>
      <c r="H5" s="15">
        <f>E5+G5</f>
        <v>16954.95</v>
      </c>
      <c r="I5" s="15">
        <v>0</v>
      </c>
      <c r="J5" s="15">
        <v>3246.93</v>
      </c>
      <c r="K5" s="15">
        <f>J5-I5</f>
        <v>3246.93</v>
      </c>
      <c r="L5" s="15">
        <v>0</v>
      </c>
      <c r="M5" s="15">
        <v>0</v>
      </c>
      <c r="N5" s="15">
        <f>E5*0.105</f>
        <v>1780.2697499999999</v>
      </c>
      <c r="O5" s="15">
        <f>SUM(K5:N5)</f>
        <v>5027.1997499999998</v>
      </c>
      <c r="P5" s="18">
        <f>H5-O5</f>
        <v>11927.750250000001</v>
      </c>
      <c r="Q5" s="10">
        <v>1223.77</v>
      </c>
      <c r="R5" s="10">
        <v>2797.56</v>
      </c>
      <c r="S5" s="35">
        <f>SUM(Q5:R5)</f>
        <v>4021.33</v>
      </c>
    </row>
    <row r="6" spans="1:19" x14ac:dyDescent="0.25">
      <c r="B6" t="s">
        <v>23</v>
      </c>
      <c r="C6" s="11" t="s">
        <v>24</v>
      </c>
      <c r="D6" t="s">
        <v>3</v>
      </c>
      <c r="E6" s="15">
        <v>4850</v>
      </c>
      <c r="F6" s="28">
        <v>15</v>
      </c>
      <c r="G6" s="15">
        <v>0</v>
      </c>
      <c r="H6" s="15">
        <f t="shared" ref="H6:H7" si="0">E6+G6</f>
        <v>4850</v>
      </c>
      <c r="I6" s="15">
        <v>0</v>
      </c>
      <c r="J6" s="15">
        <v>491.69</v>
      </c>
      <c r="K6" s="15">
        <f t="shared" ref="K6:K7" si="1">J6-I6</f>
        <v>491.69</v>
      </c>
      <c r="L6" s="15">
        <v>0</v>
      </c>
      <c r="M6" s="15">
        <v>0</v>
      </c>
      <c r="N6" s="15">
        <f>E6*0.105</f>
        <v>509.25</v>
      </c>
      <c r="O6" s="15">
        <f t="shared" ref="O6:O7" si="2">SUM(K6:N6)</f>
        <v>1000.94</v>
      </c>
      <c r="P6" s="18">
        <f>H6-O6</f>
        <v>3849.06</v>
      </c>
      <c r="Q6" s="10">
        <v>480.14</v>
      </c>
      <c r="R6" s="10">
        <v>800.25</v>
      </c>
      <c r="S6" s="35">
        <f t="shared" ref="S6:S7" si="3">SUM(Q6:R6)</f>
        <v>1280.3899999999999</v>
      </c>
    </row>
    <row r="7" spans="1:19" x14ac:dyDescent="0.25">
      <c r="B7" t="s">
        <v>41</v>
      </c>
      <c r="C7" s="11" t="s">
        <v>42</v>
      </c>
      <c r="D7" t="s">
        <v>2</v>
      </c>
      <c r="E7" s="15">
        <v>10000</v>
      </c>
      <c r="F7" s="28">
        <v>15</v>
      </c>
      <c r="G7" s="15">
        <v>0</v>
      </c>
      <c r="H7" s="15">
        <f t="shared" si="0"/>
        <v>10000</v>
      </c>
      <c r="I7" s="15">
        <v>0</v>
      </c>
      <c r="J7" s="15">
        <v>1581.44</v>
      </c>
      <c r="K7" s="15">
        <f t="shared" si="1"/>
        <v>1581.44</v>
      </c>
      <c r="L7" s="15">
        <v>0</v>
      </c>
      <c r="M7" s="15">
        <v>0</v>
      </c>
      <c r="N7" s="15">
        <f>E7*0.105</f>
        <v>1050</v>
      </c>
      <c r="O7" s="15">
        <f t="shared" si="2"/>
        <v>2631.44</v>
      </c>
      <c r="P7" s="18">
        <f>H7-O7</f>
        <v>7368.5599999999995</v>
      </c>
      <c r="Q7" s="10">
        <v>796.52</v>
      </c>
      <c r="R7" s="10">
        <v>1650</v>
      </c>
      <c r="S7" s="35">
        <f t="shared" si="3"/>
        <v>2446.52</v>
      </c>
    </row>
    <row r="8" spans="1:19" x14ac:dyDescent="0.25">
      <c r="A8" t="s">
        <v>135</v>
      </c>
      <c r="B8" s="7" t="s">
        <v>26</v>
      </c>
      <c r="E8" s="34">
        <f>SUM(E5:E7)</f>
        <v>31804.95</v>
      </c>
      <c r="F8" s="34"/>
      <c r="G8" s="34">
        <f>SUM(G5:G7)</f>
        <v>0</v>
      </c>
      <c r="H8" s="34">
        <f>SUM(H5:H7)</f>
        <v>31804.95</v>
      </c>
      <c r="I8" s="34">
        <f t="shared" ref="I8:S8" si="4">SUM(I5:I7)</f>
        <v>0</v>
      </c>
      <c r="J8" s="34">
        <f t="shared" si="4"/>
        <v>5320.0599999999995</v>
      </c>
      <c r="K8" s="34">
        <f t="shared" si="4"/>
        <v>5320.0599999999995</v>
      </c>
      <c r="L8" s="34">
        <f t="shared" si="4"/>
        <v>0</v>
      </c>
      <c r="M8" s="34">
        <f t="shared" si="4"/>
        <v>0</v>
      </c>
      <c r="N8" s="34">
        <f t="shared" si="4"/>
        <v>3339.5197499999999</v>
      </c>
      <c r="O8" s="34">
        <f t="shared" si="4"/>
        <v>8659.5797500000008</v>
      </c>
      <c r="P8" s="34">
        <f t="shared" si="4"/>
        <v>23145.37025</v>
      </c>
      <c r="Q8" s="34">
        <f t="shared" si="4"/>
        <v>2500.4299999999998</v>
      </c>
      <c r="R8" s="34">
        <f t="shared" si="4"/>
        <v>5247.8099999999995</v>
      </c>
      <c r="S8" s="34">
        <f t="shared" si="4"/>
        <v>7748.24</v>
      </c>
    </row>
    <row r="9" spans="1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t="s">
        <v>32</v>
      </c>
      <c r="C11" s="11" t="s">
        <v>37</v>
      </c>
      <c r="D11" t="s">
        <v>1</v>
      </c>
      <c r="E11" s="15">
        <v>10000</v>
      </c>
      <c r="F11" s="28">
        <v>15</v>
      </c>
      <c r="G11" s="15">
        <v>0</v>
      </c>
      <c r="H11" s="15">
        <f>E11+G11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>E11*0.105</f>
        <v>1050</v>
      </c>
      <c r="O11" s="15">
        <f>SUM(K11:N11)</f>
        <v>2631.44</v>
      </c>
      <c r="P11" s="18">
        <f t="shared" ref="P11:P18" si="5">H11-O11</f>
        <v>7368.5599999999995</v>
      </c>
      <c r="Q11" s="10">
        <v>796.52</v>
      </c>
      <c r="R11" s="10">
        <v>1650</v>
      </c>
      <c r="S11" s="35">
        <f>Q11+R11</f>
        <v>2446.52</v>
      </c>
    </row>
    <row r="12" spans="1:19" x14ac:dyDescent="0.25">
      <c r="B12" t="s">
        <v>33</v>
      </c>
      <c r="C12" s="11" t="s">
        <v>38</v>
      </c>
      <c r="D12" t="s">
        <v>74</v>
      </c>
      <c r="E12" s="15">
        <v>5350</v>
      </c>
      <c r="F12" s="28">
        <v>15</v>
      </c>
      <c r="G12" s="19">
        <v>0</v>
      </c>
      <c r="H12" s="15">
        <f t="shared" ref="H12:H18" si="6">E12+G12</f>
        <v>5350</v>
      </c>
      <c r="I12" s="15">
        <v>0</v>
      </c>
      <c r="J12" s="15">
        <v>588.20000000000005</v>
      </c>
      <c r="K12" s="15">
        <f t="shared" ref="K12:K16" si="7">J12-I12</f>
        <v>588.20000000000005</v>
      </c>
      <c r="L12" s="15">
        <v>0</v>
      </c>
      <c r="M12" s="15">
        <v>0</v>
      </c>
      <c r="N12" s="15">
        <f>E12*0.105</f>
        <v>561.75</v>
      </c>
      <c r="O12" s="15">
        <f>SUM(K12:N12)</f>
        <v>1149.95</v>
      </c>
      <c r="P12" s="18">
        <f t="shared" si="5"/>
        <v>4200.05</v>
      </c>
      <c r="Q12" s="10">
        <v>510.86</v>
      </c>
      <c r="R12" s="10">
        <v>882.75</v>
      </c>
      <c r="S12" s="35">
        <f>Q12+R12</f>
        <v>1393.6100000000001</v>
      </c>
    </row>
    <row r="13" spans="1:19" x14ac:dyDescent="0.25">
      <c r="B13" t="s">
        <v>34</v>
      </c>
      <c r="C13" t="s">
        <v>141</v>
      </c>
      <c r="D13" t="s">
        <v>75</v>
      </c>
      <c r="E13" s="21">
        <v>4993.33</v>
      </c>
      <c r="F13" s="28">
        <v>14</v>
      </c>
      <c r="G13" s="3">
        <v>0</v>
      </c>
      <c r="H13" s="15">
        <f t="shared" si="6"/>
        <v>4993.33</v>
      </c>
      <c r="I13" s="3">
        <v>0</v>
      </c>
      <c r="J13" s="3">
        <v>517.38</v>
      </c>
      <c r="K13" s="15">
        <f t="shared" si="7"/>
        <v>517.38</v>
      </c>
      <c r="L13" s="3">
        <v>0</v>
      </c>
      <c r="M13" s="3">
        <v>0</v>
      </c>
      <c r="N13" s="15">
        <f>E13*0.105</f>
        <v>524.29964999999993</v>
      </c>
      <c r="O13" s="15">
        <f>SUM(K13:N13)</f>
        <v>1041.67965</v>
      </c>
      <c r="P13" s="18">
        <f t="shared" si="5"/>
        <v>3951.6503499999999</v>
      </c>
      <c r="Q13" s="27">
        <v>510.86</v>
      </c>
      <c r="R13" s="27">
        <v>882.75</v>
      </c>
      <c r="S13" s="35">
        <f>Q13+R13</f>
        <v>1393.6100000000001</v>
      </c>
    </row>
    <row r="14" spans="1:19" x14ac:dyDescent="0.25">
      <c r="B14" t="s">
        <v>35</v>
      </c>
      <c r="C14" t="s">
        <v>111</v>
      </c>
      <c r="D14" t="s">
        <v>77</v>
      </c>
      <c r="E14" s="15">
        <v>6000</v>
      </c>
      <c r="F14" s="28">
        <v>15</v>
      </c>
      <c r="G14" s="15">
        <v>0</v>
      </c>
      <c r="H14" s="15">
        <f t="shared" si="6"/>
        <v>6000</v>
      </c>
      <c r="I14" s="15">
        <v>0</v>
      </c>
      <c r="J14" s="15">
        <v>727.04</v>
      </c>
      <c r="K14" s="15">
        <f t="shared" si="7"/>
        <v>727.04</v>
      </c>
      <c r="L14" s="15">
        <v>0</v>
      </c>
      <c r="M14" s="15">
        <v>0</v>
      </c>
      <c r="N14" s="15">
        <f t="shared" ref="N14:N18" si="8">E14*0.105</f>
        <v>630</v>
      </c>
      <c r="O14" s="15">
        <f>SUM(K14:N14)</f>
        <v>1357.04</v>
      </c>
      <c r="P14" s="18">
        <f t="shared" si="5"/>
        <v>4642.96</v>
      </c>
      <c r="Q14" s="10">
        <v>550.79</v>
      </c>
      <c r="R14" s="10">
        <v>990</v>
      </c>
      <c r="S14" s="35">
        <f>Q14+R14</f>
        <v>1540.79</v>
      </c>
    </row>
    <row r="15" spans="1:19" x14ac:dyDescent="0.25">
      <c r="B15" t="s">
        <v>36</v>
      </c>
      <c r="C15" t="s">
        <v>86</v>
      </c>
      <c r="D15" t="s">
        <v>39</v>
      </c>
      <c r="E15" s="15">
        <v>4500</v>
      </c>
      <c r="F15" s="28">
        <v>15</v>
      </c>
      <c r="G15" s="15">
        <v>0</v>
      </c>
      <c r="H15" s="15">
        <f t="shared" si="6"/>
        <v>4500</v>
      </c>
      <c r="I15" s="15">
        <v>0</v>
      </c>
      <c r="J15" s="15">
        <v>428.97</v>
      </c>
      <c r="K15" s="15">
        <f t="shared" si="7"/>
        <v>428.97</v>
      </c>
      <c r="L15" s="15">
        <v>0</v>
      </c>
      <c r="M15" s="15">
        <v>0</v>
      </c>
      <c r="N15" s="15">
        <f t="shared" si="8"/>
        <v>472.5</v>
      </c>
      <c r="O15" s="15">
        <f t="shared" ref="O15:O16" si="9">SUM(K15:N15)</f>
        <v>901.47</v>
      </c>
      <c r="P15" s="18">
        <f t="shared" si="5"/>
        <v>3598.5299999999997</v>
      </c>
      <c r="Q15" s="10">
        <v>489.36</v>
      </c>
      <c r="R15" s="10">
        <v>825</v>
      </c>
      <c r="S15" s="35">
        <f>Q15+R15</f>
        <v>1314.3600000000001</v>
      </c>
    </row>
    <row r="16" spans="1:19" x14ac:dyDescent="0.25">
      <c r="B16" t="s">
        <v>115</v>
      </c>
      <c r="C16" t="s">
        <v>87</v>
      </c>
      <c r="D16" t="s">
        <v>39</v>
      </c>
      <c r="E16" s="15">
        <v>4500</v>
      </c>
      <c r="F16" s="28">
        <v>15</v>
      </c>
      <c r="G16" s="15">
        <v>0</v>
      </c>
      <c r="H16" s="15">
        <f t="shared" si="6"/>
        <v>4500</v>
      </c>
      <c r="I16" s="15">
        <v>0</v>
      </c>
      <c r="J16" s="15">
        <v>428.97</v>
      </c>
      <c r="K16" s="15">
        <f t="shared" si="7"/>
        <v>428.97</v>
      </c>
      <c r="L16" s="15">
        <v>0</v>
      </c>
      <c r="M16" s="15">
        <v>0</v>
      </c>
      <c r="N16" s="15">
        <f>E16*0.105</f>
        <v>472.5</v>
      </c>
      <c r="O16" s="15">
        <f t="shared" si="9"/>
        <v>901.47</v>
      </c>
      <c r="P16" s="18">
        <f t="shared" si="5"/>
        <v>3598.5299999999997</v>
      </c>
      <c r="Q16" s="10">
        <v>458.64</v>
      </c>
      <c r="R16" s="10">
        <v>742.5</v>
      </c>
      <c r="S16" s="35">
        <f t="shared" ref="S16:S18" si="10">Q16+R16</f>
        <v>1201.1399999999999</v>
      </c>
    </row>
    <row r="17" spans="1:19" x14ac:dyDescent="0.25">
      <c r="B17" t="s">
        <v>116</v>
      </c>
      <c r="C17" t="s">
        <v>89</v>
      </c>
      <c r="D17" t="s">
        <v>4</v>
      </c>
      <c r="E17" s="15">
        <v>2700</v>
      </c>
      <c r="F17" s="28">
        <v>15</v>
      </c>
      <c r="G17" s="15">
        <v>0</v>
      </c>
      <c r="H17" s="15">
        <f t="shared" si="6"/>
        <v>2700</v>
      </c>
      <c r="I17" s="15">
        <v>147.32</v>
      </c>
      <c r="J17" s="15">
        <v>188.33</v>
      </c>
      <c r="K17" s="15">
        <f>J17-I17</f>
        <v>41.010000000000019</v>
      </c>
      <c r="L17" s="15">
        <v>0</v>
      </c>
      <c r="M17" s="15">
        <v>0</v>
      </c>
      <c r="N17" s="15">
        <f t="shared" si="8"/>
        <v>283.5</v>
      </c>
      <c r="O17" s="15">
        <f>SUM(K17:N17)</f>
        <v>324.51</v>
      </c>
      <c r="P17" s="18">
        <f t="shared" si="5"/>
        <v>2375.4899999999998</v>
      </c>
      <c r="Q17" s="10">
        <v>348.07</v>
      </c>
      <c r="R17" s="10">
        <v>445.5</v>
      </c>
      <c r="S17" s="35">
        <f t="shared" si="10"/>
        <v>793.56999999999994</v>
      </c>
    </row>
    <row r="18" spans="1:19" x14ac:dyDescent="0.25">
      <c r="B18" t="s">
        <v>117</v>
      </c>
      <c r="C18" t="s">
        <v>88</v>
      </c>
      <c r="D18" t="s">
        <v>40</v>
      </c>
      <c r="E18" s="15">
        <v>3150</v>
      </c>
      <c r="F18" s="28">
        <v>15</v>
      </c>
      <c r="G18" s="15">
        <v>0</v>
      </c>
      <c r="H18" s="15">
        <f t="shared" si="6"/>
        <v>3150</v>
      </c>
      <c r="I18" s="15">
        <v>126.77</v>
      </c>
      <c r="J18" s="15">
        <v>237.29</v>
      </c>
      <c r="K18" s="15">
        <f>J18-I18</f>
        <v>110.52</v>
      </c>
      <c r="L18" s="15">
        <v>0</v>
      </c>
      <c r="M18" s="15">
        <v>0</v>
      </c>
      <c r="N18" s="15">
        <f t="shared" si="8"/>
        <v>330.75</v>
      </c>
      <c r="O18" s="15">
        <f>SUM(K18:N18)</f>
        <v>441.27</v>
      </c>
      <c r="P18" s="18">
        <f t="shared" si="5"/>
        <v>2708.73</v>
      </c>
      <c r="Q18" s="10">
        <v>375.71</v>
      </c>
      <c r="R18" s="10">
        <v>519.75</v>
      </c>
      <c r="S18" s="35">
        <f t="shared" si="10"/>
        <v>895.46</v>
      </c>
    </row>
    <row r="19" spans="1:19" x14ac:dyDescent="0.25">
      <c r="A19" t="s">
        <v>136</v>
      </c>
      <c r="B19" s="2" t="s">
        <v>26</v>
      </c>
      <c r="E19" s="34">
        <f t="shared" ref="E19:S19" si="11">SUM(E11:E18)</f>
        <v>41193.33</v>
      </c>
      <c r="F19" s="34"/>
      <c r="G19" s="34">
        <f t="shared" si="11"/>
        <v>0</v>
      </c>
      <c r="H19" s="34">
        <f t="shared" si="11"/>
        <v>41193.33</v>
      </c>
      <c r="I19" s="34">
        <f t="shared" si="11"/>
        <v>274.08999999999997</v>
      </c>
      <c r="J19" s="34">
        <f t="shared" si="11"/>
        <v>4697.6200000000008</v>
      </c>
      <c r="K19" s="34">
        <f t="shared" si="11"/>
        <v>4423.5300000000016</v>
      </c>
      <c r="L19" s="34">
        <f t="shared" si="11"/>
        <v>0</v>
      </c>
      <c r="M19" s="34">
        <f t="shared" si="11"/>
        <v>0</v>
      </c>
      <c r="N19" s="34">
        <f t="shared" si="11"/>
        <v>4325.2996499999999</v>
      </c>
      <c r="O19" s="34">
        <f t="shared" si="11"/>
        <v>8748.8296500000015</v>
      </c>
      <c r="P19" s="34">
        <f t="shared" si="11"/>
        <v>32444.500349999998</v>
      </c>
      <c r="Q19" s="34">
        <f t="shared" si="11"/>
        <v>4040.8100000000004</v>
      </c>
      <c r="R19" s="34">
        <f t="shared" si="11"/>
        <v>6938.25</v>
      </c>
      <c r="S19" s="34">
        <f t="shared" si="11"/>
        <v>10979.059999999998</v>
      </c>
    </row>
    <row r="20" spans="1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9" x14ac:dyDescent="0.25">
      <c r="B21" s="2" t="s">
        <v>43</v>
      </c>
      <c r="C21" s="2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t="s">
        <v>118</v>
      </c>
      <c r="C22" t="s">
        <v>90</v>
      </c>
      <c r="D22" t="s">
        <v>6</v>
      </c>
      <c r="E22" s="15">
        <v>0</v>
      </c>
      <c r="F22" s="28"/>
      <c r="G22" s="15"/>
      <c r="H22" s="15">
        <v>0</v>
      </c>
      <c r="I22" s="15">
        <v>0</v>
      </c>
      <c r="J22" s="15">
        <v>0</v>
      </c>
      <c r="K22" s="15">
        <f>J22-I22</f>
        <v>0</v>
      </c>
      <c r="L22" s="15">
        <v>0</v>
      </c>
      <c r="M22" s="15">
        <v>0</v>
      </c>
      <c r="N22" s="15">
        <f>E22*0.105</f>
        <v>0</v>
      </c>
      <c r="O22" s="15">
        <f>SUM(K22:N22)</f>
        <v>0</v>
      </c>
      <c r="P22" s="18">
        <v>0</v>
      </c>
      <c r="Q22" s="36">
        <v>0</v>
      </c>
      <c r="R22" s="36">
        <v>0</v>
      </c>
      <c r="S22" s="35">
        <v>0</v>
      </c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8">
        <v>15</v>
      </c>
      <c r="G23" s="15">
        <v>0</v>
      </c>
      <c r="H23" s="15">
        <f>E23+G23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E23*0.105</f>
        <v>561.75</v>
      </c>
      <c r="O23" s="15">
        <f>SUM(K23:N23)</f>
        <v>1149.95</v>
      </c>
      <c r="P23" s="18">
        <f>H23-O23</f>
        <v>4200.05</v>
      </c>
      <c r="Q23" s="10">
        <v>510.86</v>
      </c>
      <c r="R23" s="10">
        <v>882.75</v>
      </c>
      <c r="S23" s="35">
        <f>Q23+R23</f>
        <v>1393.6100000000001</v>
      </c>
    </row>
    <row r="24" spans="1:19" x14ac:dyDescent="0.25">
      <c r="A24" t="s">
        <v>134</v>
      </c>
      <c r="B24" s="2" t="s">
        <v>26</v>
      </c>
      <c r="E24" s="34">
        <f>SUM(E22:E23)</f>
        <v>5350</v>
      </c>
      <c r="F24" s="34"/>
      <c r="G24" s="34">
        <f>G23</f>
        <v>0</v>
      </c>
      <c r="H24" s="34">
        <f>SUM(H22:H23)</f>
        <v>5350</v>
      </c>
      <c r="I24" s="34">
        <f t="shared" ref="I24:S24" si="12">SUM(I22:I23)</f>
        <v>0</v>
      </c>
      <c r="J24" s="34">
        <f t="shared" si="12"/>
        <v>588.20000000000005</v>
      </c>
      <c r="K24" s="34">
        <f t="shared" si="12"/>
        <v>588.20000000000005</v>
      </c>
      <c r="L24" s="34">
        <f t="shared" si="12"/>
        <v>0</v>
      </c>
      <c r="M24" s="34">
        <f t="shared" si="12"/>
        <v>0</v>
      </c>
      <c r="N24" s="34">
        <f t="shared" si="12"/>
        <v>561.75</v>
      </c>
      <c r="O24" s="34">
        <f t="shared" si="12"/>
        <v>1149.95</v>
      </c>
      <c r="P24" s="34">
        <f t="shared" si="12"/>
        <v>4200.05</v>
      </c>
      <c r="Q24" s="34">
        <f t="shared" si="12"/>
        <v>510.86</v>
      </c>
      <c r="R24" s="34">
        <f t="shared" si="12"/>
        <v>882.75</v>
      </c>
      <c r="S24" s="34">
        <f t="shared" si="12"/>
        <v>1393.6100000000001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8">
        <v>15</v>
      </c>
      <c r="G27" s="15">
        <v>0</v>
      </c>
      <c r="H27" s="15">
        <f>E27+G27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E27*0.105</f>
        <v>561.75</v>
      </c>
      <c r="O27" s="15">
        <f>SUM(K27:N27)</f>
        <v>1149.95</v>
      </c>
      <c r="P27" s="18">
        <f>H27-O27</f>
        <v>4200.05</v>
      </c>
      <c r="Q27" s="10">
        <v>510.86</v>
      </c>
      <c r="R27" s="10">
        <v>882.75</v>
      </c>
      <c r="S27" s="35">
        <f>Q27+R27</f>
        <v>1393.6100000000001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8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E28*0.105</f>
        <v>561.75</v>
      </c>
      <c r="O28" s="15">
        <f>SUM(K28:N28)</f>
        <v>1149.95</v>
      </c>
      <c r="P28" s="18">
        <f>H28-O28</f>
        <v>4200.05</v>
      </c>
      <c r="Q28" s="10">
        <v>510.86</v>
      </c>
      <c r="R28" s="10">
        <v>882.75</v>
      </c>
      <c r="S28" s="35">
        <f>Q28+R28</f>
        <v>1393.6100000000001</v>
      </c>
    </row>
    <row r="29" spans="1:19" x14ac:dyDescent="0.25">
      <c r="A29" t="s">
        <v>137</v>
      </c>
      <c r="B29" s="2" t="s">
        <v>26</v>
      </c>
      <c r="E29" s="34">
        <f>SUM(E27:E28)</f>
        <v>10700</v>
      </c>
      <c r="F29" s="34"/>
      <c r="G29" s="34">
        <f>SUM(G27:G28)</f>
        <v>0</v>
      </c>
      <c r="H29" s="34">
        <f>SUM(H27:H28)</f>
        <v>10700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1123.5</v>
      </c>
      <c r="O29" s="34">
        <f t="shared" si="13"/>
        <v>2299.9</v>
      </c>
      <c r="P29" s="34">
        <f t="shared" si="13"/>
        <v>8400.1</v>
      </c>
      <c r="Q29" s="34">
        <f t="shared" si="13"/>
        <v>1021.72</v>
      </c>
      <c r="R29" s="34">
        <f t="shared" si="13"/>
        <v>1765.5</v>
      </c>
      <c r="S29" s="34">
        <f t="shared" si="13"/>
        <v>2787.2200000000003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8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 t="shared" ref="N32:N42" si="14">E32*0.105</f>
        <v>561.75</v>
      </c>
      <c r="O32" s="15">
        <f>SUM(K32:N32)</f>
        <v>1149.95</v>
      </c>
      <c r="P32" s="18">
        <f t="shared" ref="P32:P42" si="15">H32-O32</f>
        <v>4200.05</v>
      </c>
      <c r="Q32" s="10">
        <v>510.86</v>
      </c>
      <c r="R32" s="10">
        <v>882.75</v>
      </c>
      <c r="S32" s="35">
        <f t="shared" ref="S32:S42" si="16">Q32+R32</f>
        <v>1393.6100000000001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8">
        <v>15</v>
      </c>
      <c r="G33" s="15">
        <v>0</v>
      </c>
      <c r="H33" s="15">
        <f t="shared" ref="H33:H42" si="17">E33+G33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si="14"/>
        <v>561.75</v>
      </c>
      <c r="O33" s="15">
        <f t="shared" ref="O33:O42" si="19">SUM(K33:N33)</f>
        <v>1149.95</v>
      </c>
      <c r="P33" s="18">
        <f t="shared" si="15"/>
        <v>4200.05</v>
      </c>
      <c r="Q33" s="10">
        <v>510.86</v>
      </c>
      <c r="R33" s="10">
        <v>882.75</v>
      </c>
      <c r="S33" s="35">
        <f t="shared" si="16"/>
        <v>1393.6100000000001</v>
      </c>
    </row>
    <row r="34" spans="1:19" x14ac:dyDescent="0.25">
      <c r="B34" t="s">
        <v>124</v>
      </c>
      <c r="C34" t="s">
        <v>96</v>
      </c>
      <c r="D34" t="s">
        <v>78</v>
      </c>
      <c r="E34" s="15">
        <v>4993</v>
      </c>
      <c r="F34" s="28">
        <v>14</v>
      </c>
      <c r="G34" s="15">
        <v>0</v>
      </c>
      <c r="H34" s="15">
        <f t="shared" si="17"/>
        <v>4993</v>
      </c>
      <c r="I34" s="15">
        <v>0</v>
      </c>
      <c r="J34" s="15">
        <v>517.38</v>
      </c>
      <c r="K34" s="15">
        <f t="shared" si="18"/>
        <v>517.38</v>
      </c>
      <c r="L34" s="15">
        <v>0</v>
      </c>
      <c r="M34" s="15">
        <v>0</v>
      </c>
      <c r="N34" s="15">
        <f t="shared" si="14"/>
        <v>524.26499999999999</v>
      </c>
      <c r="O34" s="15">
        <f t="shared" si="19"/>
        <v>1041.645</v>
      </c>
      <c r="P34" s="18">
        <f t="shared" si="15"/>
        <v>3951.355</v>
      </c>
      <c r="Q34" s="10">
        <v>510.86</v>
      </c>
      <c r="R34" s="10">
        <v>882.75</v>
      </c>
      <c r="S34" s="35">
        <f t="shared" si="16"/>
        <v>1393.6100000000001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8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4"/>
        <v>561.75</v>
      </c>
      <c r="O35" s="15">
        <f t="shared" si="19"/>
        <v>1149.95</v>
      </c>
      <c r="P35" s="18">
        <f t="shared" si="15"/>
        <v>4200.05</v>
      </c>
      <c r="Q35" s="10">
        <v>510.86</v>
      </c>
      <c r="R35" s="10">
        <v>882.75</v>
      </c>
      <c r="S35" s="35">
        <f t="shared" si="16"/>
        <v>1393.6100000000001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8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4"/>
        <v>561.75</v>
      </c>
      <c r="O36" s="15">
        <f t="shared" si="19"/>
        <v>1149.95</v>
      </c>
      <c r="P36" s="18">
        <f t="shared" si="15"/>
        <v>4200.05</v>
      </c>
      <c r="Q36" s="10">
        <v>510.86</v>
      </c>
      <c r="R36" s="10">
        <v>882.75</v>
      </c>
      <c r="S36" s="35">
        <f t="shared" si="16"/>
        <v>1393.6100000000001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8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4"/>
        <v>561.75</v>
      </c>
      <c r="O37" s="15">
        <f t="shared" si="19"/>
        <v>1149.95</v>
      </c>
      <c r="P37" s="18">
        <f t="shared" si="15"/>
        <v>4200.05</v>
      </c>
      <c r="Q37" s="10">
        <v>510.86</v>
      </c>
      <c r="R37" s="10">
        <v>882.75</v>
      </c>
      <c r="S37" s="35">
        <f t="shared" si="16"/>
        <v>1393.6100000000001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8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4"/>
        <v>561.75</v>
      </c>
      <c r="O38" s="15">
        <f t="shared" si="19"/>
        <v>1149.95</v>
      </c>
      <c r="P38" s="18">
        <f t="shared" si="15"/>
        <v>4200.05</v>
      </c>
      <c r="Q38" s="10">
        <v>510.86</v>
      </c>
      <c r="R38" s="10">
        <v>882.75</v>
      </c>
      <c r="S38" s="35">
        <f t="shared" si="16"/>
        <v>1393.6100000000001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8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4"/>
        <v>561.75</v>
      </c>
      <c r="O39" s="15">
        <f t="shared" si="19"/>
        <v>1149.95</v>
      </c>
      <c r="P39" s="18">
        <f t="shared" si="15"/>
        <v>4200.05</v>
      </c>
      <c r="Q39" s="10">
        <v>510.86</v>
      </c>
      <c r="R39" s="10">
        <v>882.75</v>
      </c>
      <c r="S39" s="35">
        <f t="shared" si="16"/>
        <v>1393.6100000000001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8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4"/>
        <v>561.75</v>
      </c>
      <c r="O40" s="15">
        <f t="shared" si="19"/>
        <v>1149.95</v>
      </c>
      <c r="P40" s="18">
        <f t="shared" si="15"/>
        <v>4200.05</v>
      </c>
      <c r="Q40" s="10">
        <v>510.86</v>
      </c>
      <c r="R40" s="10">
        <v>882.75</v>
      </c>
      <c r="S40" s="35">
        <f t="shared" si="16"/>
        <v>1393.6100000000001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8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4"/>
        <v>561.75</v>
      </c>
      <c r="O41" s="15">
        <f t="shared" si="19"/>
        <v>1149.95</v>
      </c>
      <c r="P41" s="18">
        <f t="shared" si="15"/>
        <v>4200.05</v>
      </c>
      <c r="Q41" s="10">
        <v>510.86</v>
      </c>
      <c r="R41" s="10">
        <v>882.75</v>
      </c>
      <c r="S41" s="35">
        <f t="shared" si="16"/>
        <v>1393.6100000000001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8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4"/>
        <v>561.75</v>
      </c>
      <c r="O42" s="15">
        <f t="shared" si="19"/>
        <v>1149.95</v>
      </c>
      <c r="P42" s="18">
        <f t="shared" si="15"/>
        <v>4200.05</v>
      </c>
      <c r="Q42" s="10">
        <v>510.86</v>
      </c>
      <c r="R42" s="10">
        <v>882.75</v>
      </c>
      <c r="S42" s="35">
        <f t="shared" si="16"/>
        <v>1393.6100000000001</v>
      </c>
    </row>
    <row r="43" spans="1:19" x14ac:dyDescent="0.25">
      <c r="A43" t="s">
        <v>138</v>
      </c>
      <c r="B43" s="2" t="s">
        <v>26</v>
      </c>
      <c r="E43" s="34">
        <f>SUM(E32:E42)</f>
        <v>58493</v>
      </c>
      <c r="F43" s="34"/>
      <c r="G43" s="34">
        <f>SUM(G32:G42)</f>
        <v>0</v>
      </c>
      <c r="H43" s="34">
        <f>SUM(H32:H42)</f>
        <v>58493</v>
      </c>
      <c r="I43" s="34">
        <f t="shared" ref="I43:S43" si="20">SUM(I32:I42)</f>
        <v>0</v>
      </c>
      <c r="J43" s="34">
        <f t="shared" si="20"/>
        <v>6399.3799999999992</v>
      </c>
      <c r="K43" s="34">
        <f t="shared" si="20"/>
        <v>6399.3799999999992</v>
      </c>
      <c r="L43" s="34">
        <f t="shared" si="20"/>
        <v>0</v>
      </c>
      <c r="M43" s="34">
        <f t="shared" si="20"/>
        <v>0</v>
      </c>
      <c r="N43" s="34">
        <f t="shared" si="20"/>
        <v>6141.7649999999994</v>
      </c>
      <c r="O43" s="34">
        <f t="shared" si="20"/>
        <v>12541.145000000002</v>
      </c>
      <c r="P43" s="34">
        <f t="shared" si="20"/>
        <v>45951.85500000001</v>
      </c>
      <c r="Q43" s="34">
        <f t="shared" si="20"/>
        <v>5619.46</v>
      </c>
      <c r="R43" s="34">
        <f t="shared" si="20"/>
        <v>9710.25</v>
      </c>
      <c r="S43" s="34">
        <f t="shared" si="20"/>
        <v>15329.710000000005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4993</v>
      </c>
      <c r="F46" s="28">
        <v>14</v>
      </c>
      <c r="G46" s="15">
        <v>0</v>
      </c>
      <c r="H46" s="15">
        <f>E46+G46</f>
        <v>4993</v>
      </c>
      <c r="I46" s="15">
        <v>0</v>
      </c>
      <c r="J46" s="15">
        <v>517.38</v>
      </c>
      <c r="K46" s="15">
        <f>J46-I46</f>
        <v>517.38</v>
      </c>
      <c r="L46" s="15">
        <v>0</v>
      </c>
      <c r="M46" s="15">
        <v>0</v>
      </c>
      <c r="N46" s="15">
        <f>E46*0.105</f>
        <v>524.26499999999999</v>
      </c>
      <c r="O46" s="15">
        <f>SUM(K46:N46)</f>
        <v>1041.645</v>
      </c>
      <c r="P46" s="18">
        <f>H46-O46</f>
        <v>3951.355</v>
      </c>
      <c r="Q46" s="10">
        <v>510.86</v>
      </c>
      <c r="R46" s="10">
        <v>882.75</v>
      </c>
      <c r="S46" s="35">
        <f t="shared" ref="S46" si="21">Q46+R46</f>
        <v>1393.6100000000001</v>
      </c>
    </row>
    <row r="47" spans="1:19" x14ac:dyDescent="0.25">
      <c r="A47" t="s">
        <v>139</v>
      </c>
      <c r="B47" s="2" t="s">
        <v>26</v>
      </c>
      <c r="E47" s="34">
        <f>E46</f>
        <v>4993</v>
      </c>
      <c r="F47" s="34"/>
      <c r="G47" s="34">
        <f>G46</f>
        <v>0</v>
      </c>
      <c r="H47" s="34">
        <f>H46</f>
        <v>4993</v>
      </c>
      <c r="I47" s="34">
        <f t="shared" ref="I47:S47" si="22">I46</f>
        <v>0</v>
      </c>
      <c r="J47" s="34">
        <f t="shared" si="22"/>
        <v>517.38</v>
      </c>
      <c r="K47" s="34">
        <f t="shared" si="22"/>
        <v>517.38</v>
      </c>
      <c r="L47" s="34">
        <f t="shared" si="22"/>
        <v>0</v>
      </c>
      <c r="M47" s="34">
        <f t="shared" si="22"/>
        <v>0</v>
      </c>
      <c r="N47" s="34">
        <f t="shared" si="22"/>
        <v>524.26499999999999</v>
      </c>
      <c r="O47" s="34">
        <f t="shared" si="22"/>
        <v>1041.645</v>
      </c>
      <c r="P47" s="34">
        <f t="shared" si="22"/>
        <v>3951.355</v>
      </c>
      <c r="Q47" s="34">
        <f t="shared" si="22"/>
        <v>510.86</v>
      </c>
      <c r="R47" s="34">
        <f t="shared" si="22"/>
        <v>882.75</v>
      </c>
      <c r="S47" s="34">
        <f t="shared" si="22"/>
        <v>1393.6100000000001</v>
      </c>
    </row>
    <row r="48" spans="1:19" x14ac:dyDescent="0.25">
      <c r="B48" s="2"/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8"/>
      <c r="R48" s="8"/>
      <c r="S48" s="8"/>
    </row>
    <row r="49" spans="4:19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4:19" ht="18.75" x14ac:dyDescent="0.3">
      <c r="D50" s="4" t="s">
        <v>105</v>
      </c>
      <c r="E50" s="17">
        <f>E8+E19+E24+E29+E43+E47+E48</f>
        <v>152534.28</v>
      </c>
      <c r="F50" s="17">
        <f t="shared" ref="F50:S50" si="23">F8+F19+F24+F29+F43+F47+F48</f>
        <v>0</v>
      </c>
      <c r="G50" s="17">
        <f t="shared" si="23"/>
        <v>0</v>
      </c>
      <c r="H50" s="17">
        <f t="shared" si="23"/>
        <v>152534.28</v>
      </c>
      <c r="I50" s="17">
        <f t="shared" si="23"/>
        <v>274.08999999999997</v>
      </c>
      <c r="J50" s="17">
        <f t="shared" si="23"/>
        <v>18699.04</v>
      </c>
      <c r="K50" s="17">
        <f t="shared" si="23"/>
        <v>18424.95</v>
      </c>
      <c r="L50" s="17">
        <f t="shared" si="23"/>
        <v>0</v>
      </c>
      <c r="M50" s="17">
        <f t="shared" si="23"/>
        <v>0</v>
      </c>
      <c r="N50" s="17">
        <f t="shared" si="23"/>
        <v>16016.099399999999</v>
      </c>
      <c r="O50" s="17">
        <f t="shared" si="23"/>
        <v>34441.049400000004</v>
      </c>
      <c r="P50" s="17">
        <f t="shared" si="23"/>
        <v>118093.23060000001</v>
      </c>
      <c r="Q50" s="17">
        <f t="shared" si="23"/>
        <v>14204.14</v>
      </c>
      <c r="R50" s="17">
        <f t="shared" si="23"/>
        <v>25427.309999999998</v>
      </c>
      <c r="S50" s="17">
        <f t="shared" si="23"/>
        <v>39631.450000000004</v>
      </c>
    </row>
    <row r="53" spans="4:19" ht="15.75" thickBot="1" x14ac:dyDescent="0.3">
      <c r="E53" s="89"/>
      <c r="F53" s="89"/>
      <c r="G53" s="89"/>
      <c r="J53" s="89"/>
      <c r="K53" s="89"/>
      <c r="L53" s="89"/>
    </row>
    <row r="54" spans="4:19" x14ac:dyDescent="0.25">
      <c r="E54" s="91" t="s">
        <v>146</v>
      </c>
      <c r="F54" s="91"/>
      <c r="G54" s="91"/>
      <c r="J54" s="92" t="s">
        <v>145</v>
      </c>
      <c r="K54" s="92"/>
      <c r="L54" s="92"/>
    </row>
    <row r="55" spans="4:19" ht="15.75" x14ac:dyDescent="0.3">
      <c r="E55" s="93" t="s">
        <v>144</v>
      </c>
      <c r="F55" s="93"/>
      <c r="G55" s="91"/>
      <c r="J55" s="93" t="s">
        <v>145</v>
      </c>
      <c r="K55" s="93"/>
      <c r="L55" s="93"/>
    </row>
  </sheetData>
  <mergeCells count="8">
    <mergeCell ref="E55:G55"/>
    <mergeCell ref="J55:L55"/>
    <mergeCell ref="C1:D1"/>
    <mergeCell ref="E2:S2"/>
    <mergeCell ref="E53:G53"/>
    <mergeCell ref="J53:L53"/>
    <mergeCell ref="E54:G54"/>
    <mergeCell ref="J54:L54"/>
  </mergeCells>
  <pageMargins left="0.7" right="0.7" top="0.75" bottom="0.75" header="0.3" footer="0.3"/>
  <pageSetup paperSize="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5" x14ac:dyDescent="0.25"/>
  <cols>
    <col min="3" max="3" width="33.42578125" customWidth="1"/>
    <col min="4" max="4" width="27" customWidth="1"/>
    <col min="5" max="6" width="18.7109375" customWidth="1"/>
    <col min="7" max="7" width="14.42578125" customWidth="1"/>
    <col min="8" max="8" width="17.28515625" customWidth="1"/>
    <col min="9" max="9" width="12.85546875" customWidth="1"/>
    <col min="10" max="10" width="14.28515625" customWidth="1"/>
    <col min="11" max="11" width="12.85546875" customWidth="1"/>
    <col min="14" max="14" width="16" customWidth="1"/>
    <col min="15" max="15" width="17.42578125" customWidth="1"/>
    <col min="16" max="16" width="20.140625" customWidth="1"/>
    <col min="17" max="17" width="13.85546875" customWidth="1"/>
    <col min="18" max="18" width="14.28515625" customWidth="1"/>
    <col min="19" max="19" width="16.140625" customWidth="1"/>
  </cols>
  <sheetData>
    <row r="1" spans="1:19" ht="18.75" x14ac:dyDescent="0.25">
      <c r="C1" s="86" t="s">
        <v>151</v>
      </c>
      <c r="D1" s="8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ht="15.75" thickBot="1" x14ac:dyDescent="0.3"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 ht="35.25" thickTop="1" thickBot="1" x14ac:dyDescent="0.3">
      <c r="B3" s="42" t="s">
        <v>9</v>
      </c>
      <c r="C3" s="43" t="s">
        <v>10</v>
      </c>
      <c r="D3" s="43" t="s">
        <v>0</v>
      </c>
      <c r="E3" s="44" t="s">
        <v>11</v>
      </c>
      <c r="F3" s="44" t="s">
        <v>150</v>
      </c>
      <c r="G3" s="45" t="s">
        <v>113</v>
      </c>
      <c r="H3" s="44" t="s">
        <v>12</v>
      </c>
      <c r="I3" s="44" t="s">
        <v>107</v>
      </c>
      <c r="J3" s="44" t="s">
        <v>143</v>
      </c>
      <c r="K3" s="44" t="s">
        <v>13</v>
      </c>
      <c r="L3" s="44" t="s">
        <v>15</v>
      </c>
      <c r="M3" s="44" t="s">
        <v>106</v>
      </c>
      <c r="N3" s="44" t="s">
        <v>16</v>
      </c>
      <c r="O3" s="44" t="s">
        <v>17</v>
      </c>
      <c r="P3" s="44" t="s">
        <v>72</v>
      </c>
      <c r="Q3" s="43" t="s">
        <v>8</v>
      </c>
      <c r="R3" s="43" t="s">
        <v>18</v>
      </c>
      <c r="S3" s="46" t="s">
        <v>73</v>
      </c>
    </row>
    <row r="4" spans="1:19" ht="15.75" thickTop="1" x14ac:dyDescent="0.25">
      <c r="B4" s="2" t="s">
        <v>19</v>
      </c>
      <c r="C4" s="2" t="s">
        <v>20</v>
      </c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x14ac:dyDescent="0.25">
      <c r="B5" t="s">
        <v>21</v>
      </c>
      <c r="C5" s="11" t="s">
        <v>22</v>
      </c>
      <c r="D5" t="s">
        <v>25</v>
      </c>
      <c r="E5" s="15">
        <v>16954.95</v>
      </c>
      <c r="F5" s="29">
        <v>15</v>
      </c>
      <c r="G5" s="15">
        <v>0</v>
      </c>
      <c r="H5" s="15">
        <f>E5+G5</f>
        <v>16954.95</v>
      </c>
      <c r="I5" s="15">
        <v>0</v>
      </c>
      <c r="J5" s="15">
        <v>3246.93</v>
      </c>
      <c r="K5" s="15">
        <f>J5-I5</f>
        <v>3246.93</v>
      </c>
      <c r="L5" s="15">
        <v>0</v>
      </c>
      <c r="M5" s="15">
        <v>0</v>
      </c>
      <c r="N5" s="15">
        <f>E5*0.105</f>
        <v>1780.2697499999999</v>
      </c>
      <c r="O5" s="15">
        <f>SUM(K5:N5)</f>
        <v>5027.1997499999998</v>
      </c>
      <c r="P5" s="18">
        <f>H5-O5</f>
        <v>11927.750250000001</v>
      </c>
      <c r="Q5" s="10">
        <v>1223.77</v>
      </c>
      <c r="R5" s="10">
        <v>2797.56</v>
      </c>
      <c r="S5" s="35">
        <f>SUM(Q5:R5)</f>
        <v>4021.33</v>
      </c>
    </row>
    <row r="6" spans="1:19" x14ac:dyDescent="0.25">
      <c r="B6" t="s">
        <v>23</v>
      </c>
      <c r="C6" s="11" t="s">
        <v>24</v>
      </c>
      <c r="D6" t="s">
        <v>3</v>
      </c>
      <c r="E6" s="15">
        <v>4850</v>
      </c>
      <c r="F6" s="29">
        <v>15</v>
      </c>
      <c r="G6" s="15">
        <v>0</v>
      </c>
      <c r="H6" s="15">
        <f t="shared" ref="H6:H7" si="0">E6+G6</f>
        <v>4850</v>
      </c>
      <c r="I6" s="15">
        <v>0</v>
      </c>
      <c r="J6" s="15">
        <v>491.69</v>
      </c>
      <c r="K6" s="15">
        <f t="shared" ref="K6:K7" si="1">J6-I6</f>
        <v>491.69</v>
      </c>
      <c r="L6" s="15">
        <v>0</v>
      </c>
      <c r="M6" s="15">
        <v>0</v>
      </c>
      <c r="N6" s="15">
        <f>E6*0.105</f>
        <v>509.25</v>
      </c>
      <c r="O6" s="15">
        <f t="shared" ref="O6:O7" si="2">SUM(K6:N6)</f>
        <v>1000.94</v>
      </c>
      <c r="P6" s="18">
        <f>H6-O6</f>
        <v>3849.06</v>
      </c>
      <c r="Q6" s="10">
        <v>480.14</v>
      </c>
      <c r="R6" s="10">
        <v>800.25</v>
      </c>
      <c r="S6" s="35">
        <f t="shared" ref="S6:S7" si="3">SUM(Q6:R6)</f>
        <v>1280.3899999999999</v>
      </c>
    </row>
    <row r="7" spans="1:19" x14ac:dyDescent="0.25">
      <c r="B7" t="s">
        <v>41</v>
      </c>
      <c r="C7" s="11" t="s">
        <v>42</v>
      </c>
      <c r="D7" t="s">
        <v>2</v>
      </c>
      <c r="E7" s="15">
        <v>10000</v>
      </c>
      <c r="F7" s="29">
        <v>15</v>
      </c>
      <c r="G7" s="15">
        <v>0</v>
      </c>
      <c r="H7" s="15">
        <f t="shared" si="0"/>
        <v>10000</v>
      </c>
      <c r="I7" s="15">
        <v>0</v>
      </c>
      <c r="J7" s="15">
        <v>1581.44</v>
      </c>
      <c r="K7" s="15">
        <f t="shared" si="1"/>
        <v>1581.44</v>
      </c>
      <c r="L7" s="15">
        <v>0</v>
      </c>
      <c r="M7" s="15">
        <v>0</v>
      </c>
      <c r="N7" s="15">
        <f>E7*0.105</f>
        <v>1050</v>
      </c>
      <c r="O7" s="15">
        <f t="shared" si="2"/>
        <v>2631.44</v>
      </c>
      <c r="P7" s="18">
        <f>H7-O7</f>
        <v>7368.5599999999995</v>
      </c>
      <c r="Q7" s="10">
        <v>796.52</v>
      </c>
      <c r="R7" s="10">
        <v>1650</v>
      </c>
      <c r="S7" s="35">
        <f t="shared" si="3"/>
        <v>2446.52</v>
      </c>
    </row>
    <row r="8" spans="1:19" x14ac:dyDescent="0.25">
      <c r="A8" t="s">
        <v>135</v>
      </c>
      <c r="B8" s="7" t="s">
        <v>26</v>
      </c>
      <c r="E8" s="34">
        <f>SUM(E5:E7)</f>
        <v>31804.95</v>
      </c>
      <c r="F8" s="34"/>
      <c r="G8" s="34">
        <f>SUM(G5:G7)</f>
        <v>0</v>
      </c>
      <c r="H8" s="34">
        <f>SUM(H5:H7)</f>
        <v>31804.95</v>
      </c>
      <c r="I8" s="34">
        <f t="shared" ref="I8:S8" si="4">SUM(I5:I7)</f>
        <v>0</v>
      </c>
      <c r="J8" s="34">
        <f t="shared" si="4"/>
        <v>5320.0599999999995</v>
      </c>
      <c r="K8" s="34">
        <f t="shared" si="4"/>
        <v>5320.0599999999995</v>
      </c>
      <c r="L8" s="34">
        <f t="shared" si="4"/>
        <v>0</v>
      </c>
      <c r="M8" s="34">
        <f t="shared" si="4"/>
        <v>0</v>
      </c>
      <c r="N8" s="34">
        <f t="shared" si="4"/>
        <v>3339.5197499999999</v>
      </c>
      <c r="O8" s="34">
        <f t="shared" si="4"/>
        <v>8659.5797500000008</v>
      </c>
      <c r="P8" s="34">
        <f t="shared" si="4"/>
        <v>23145.37025</v>
      </c>
      <c r="Q8" s="34">
        <f t="shared" si="4"/>
        <v>2500.4299999999998</v>
      </c>
      <c r="R8" s="34">
        <f t="shared" si="4"/>
        <v>5247.8099999999995</v>
      </c>
      <c r="S8" s="34">
        <f t="shared" si="4"/>
        <v>7748.24</v>
      </c>
    </row>
    <row r="9" spans="1:19" x14ac:dyDescent="0.25"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s="2" t="s">
        <v>27</v>
      </c>
      <c r="C10" s="2" t="s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9" x14ac:dyDescent="0.25">
      <c r="B11" t="s">
        <v>32</v>
      </c>
      <c r="C11" s="11" t="s">
        <v>37</v>
      </c>
      <c r="D11" t="s">
        <v>1</v>
      </c>
      <c r="E11" s="15">
        <v>10000</v>
      </c>
      <c r="F11" s="29">
        <v>15</v>
      </c>
      <c r="G11" s="15">
        <v>0</v>
      </c>
      <c r="H11" s="15">
        <f>E11+G11</f>
        <v>10000</v>
      </c>
      <c r="I11" s="15">
        <v>0</v>
      </c>
      <c r="J11" s="15">
        <v>1581.44</v>
      </c>
      <c r="K11" s="15">
        <f>J11-I11</f>
        <v>1581.44</v>
      </c>
      <c r="L11" s="15">
        <v>0</v>
      </c>
      <c r="M11" s="15">
        <v>0</v>
      </c>
      <c r="N11" s="15">
        <f t="shared" ref="N11:N18" si="5">E11*0.105</f>
        <v>1050</v>
      </c>
      <c r="O11" s="15">
        <f t="shared" ref="O11:O16" si="6">SUM(K11:N11)</f>
        <v>2631.44</v>
      </c>
      <c r="P11" s="18">
        <f t="shared" ref="P11:P18" si="7">H11-O11</f>
        <v>7368.5599999999995</v>
      </c>
      <c r="Q11" s="10">
        <v>796.52</v>
      </c>
      <c r="R11" s="10">
        <v>1650</v>
      </c>
      <c r="S11" s="35">
        <f>Q11+R11</f>
        <v>2446.52</v>
      </c>
    </row>
    <row r="12" spans="1:19" x14ac:dyDescent="0.25">
      <c r="B12" t="s">
        <v>33</v>
      </c>
      <c r="C12" s="11" t="s">
        <v>38</v>
      </c>
      <c r="D12" t="s">
        <v>74</v>
      </c>
      <c r="E12" s="15">
        <v>5350</v>
      </c>
      <c r="F12" s="29">
        <v>15</v>
      </c>
      <c r="G12" s="19">
        <v>0</v>
      </c>
      <c r="H12" s="15">
        <f t="shared" ref="H12:H18" si="8">E12+G12</f>
        <v>5350</v>
      </c>
      <c r="I12" s="15">
        <v>0</v>
      </c>
      <c r="J12" s="15">
        <v>588.20000000000005</v>
      </c>
      <c r="K12" s="15">
        <f t="shared" ref="K12:K16" si="9">J12-I12</f>
        <v>588.20000000000005</v>
      </c>
      <c r="L12" s="15">
        <v>0</v>
      </c>
      <c r="M12" s="15">
        <v>0</v>
      </c>
      <c r="N12" s="15">
        <f t="shared" si="5"/>
        <v>561.75</v>
      </c>
      <c r="O12" s="15">
        <f t="shared" si="6"/>
        <v>1149.95</v>
      </c>
      <c r="P12" s="18">
        <f t="shared" si="7"/>
        <v>4200.05</v>
      </c>
      <c r="Q12" s="10">
        <v>510.86</v>
      </c>
      <c r="R12" s="10">
        <v>882.75</v>
      </c>
      <c r="S12" s="35">
        <f>Q12+R12</f>
        <v>1393.6100000000001</v>
      </c>
    </row>
    <row r="13" spans="1:19" x14ac:dyDescent="0.25">
      <c r="B13" t="s">
        <v>34</v>
      </c>
      <c r="C13" t="s">
        <v>141</v>
      </c>
      <c r="D13" t="s">
        <v>75</v>
      </c>
      <c r="E13" s="21">
        <v>4637</v>
      </c>
      <c r="F13" s="29">
        <v>13</v>
      </c>
      <c r="G13" s="3">
        <v>0</v>
      </c>
      <c r="H13" s="15">
        <f t="shared" si="8"/>
        <v>4637</v>
      </c>
      <c r="I13" s="3">
        <v>0</v>
      </c>
      <c r="J13" s="3">
        <v>453.52</v>
      </c>
      <c r="K13" s="15">
        <v>453.52</v>
      </c>
      <c r="L13" s="3">
        <v>0</v>
      </c>
      <c r="M13" s="3">
        <v>0</v>
      </c>
      <c r="N13" s="15">
        <f t="shared" si="5"/>
        <v>486.88499999999999</v>
      </c>
      <c r="O13" s="15">
        <f t="shared" si="6"/>
        <v>940.40499999999997</v>
      </c>
      <c r="P13" s="18">
        <f t="shared" si="7"/>
        <v>3696.5950000000003</v>
      </c>
      <c r="Q13" s="27">
        <v>510.86</v>
      </c>
      <c r="R13" s="27">
        <v>882.75</v>
      </c>
      <c r="S13" s="35">
        <f>Q13+R13</f>
        <v>1393.6100000000001</v>
      </c>
    </row>
    <row r="14" spans="1:19" x14ac:dyDescent="0.25">
      <c r="B14" t="s">
        <v>35</v>
      </c>
      <c r="C14" t="s">
        <v>111</v>
      </c>
      <c r="D14" t="s">
        <v>77</v>
      </c>
      <c r="E14" s="15">
        <v>6000</v>
      </c>
      <c r="F14" s="29">
        <v>15</v>
      </c>
      <c r="G14" s="15">
        <v>0</v>
      </c>
      <c r="H14" s="15">
        <f t="shared" si="8"/>
        <v>6000</v>
      </c>
      <c r="I14" s="15">
        <v>0</v>
      </c>
      <c r="J14" s="15">
        <v>727.04</v>
      </c>
      <c r="K14" s="15">
        <f t="shared" si="9"/>
        <v>727.04</v>
      </c>
      <c r="L14" s="15">
        <v>0</v>
      </c>
      <c r="M14" s="15">
        <v>0</v>
      </c>
      <c r="N14" s="15">
        <f t="shared" si="5"/>
        <v>630</v>
      </c>
      <c r="O14" s="15">
        <f t="shared" si="6"/>
        <v>1357.04</v>
      </c>
      <c r="P14" s="18">
        <f t="shared" si="7"/>
        <v>4642.96</v>
      </c>
      <c r="Q14" s="10">
        <v>550.79</v>
      </c>
      <c r="R14" s="10">
        <v>990</v>
      </c>
      <c r="S14" s="35">
        <f>Q14+R14</f>
        <v>1540.79</v>
      </c>
    </row>
    <row r="15" spans="1:19" x14ac:dyDescent="0.25">
      <c r="B15" t="s">
        <v>36</v>
      </c>
      <c r="C15" t="s">
        <v>86</v>
      </c>
      <c r="D15" t="s">
        <v>39</v>
      </c>
      <c r="E15" s="15">
        <v>4500</v>
      </c>
      <c r="F15" s="29">
        <v>15</v>
      </c>
      <c r="G15" s="15">
        <v>0</v>
      </c>
      <c r="H15" s="15">
        <f t="shared" si="8"/>
        <v>4500</v>
      </c>
      <c r="I15" s="15">
        <v>0</v>
      </c>
      <c r="J15" s="15">
        <v>428.97</v>
      </c>
      <c r="K15" s="15">
        <f t="shared" si="9"/>
        <v>428.97</v>
      </c>
      <c r="L15" s="15">
        <v>0</v>
      </c>
      <c r="M15" s="15">
        <v>0</v>
      </c>
      <c r="N15" s="15">
        <f t="shared" si="5"/>
        <v>472.5</v>
      </c>
      <c r="O15" s="15">
        <f t="shared" si="6"/>
        <v>901.47</v>
      </c>
      <c r="P15" s="18">
        <f t="shared" si="7"/>
        <v>3598.5299999999997</v>
      </c>
      <c r="Q15" s="10">
        <v>489.36</v>
      </c>
      <c r="R15" s="10">
        <v>825</v>
      </c>
      <c r="S15" s="35">
        <f>Q15+R15</f>
        <v>1314.3600000000001</v>
      </c>
    </row>
    <row r="16" spans="1:19" x14ac:dyDescent="0.25">
      <c r="B16" t="s">
        <v>115</v>
      </c>
      <c r="C16" t="s">
        <v>87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8"/>
        <v>4500</v>
      </c>
      <c r="I16" s="15">
        <v>0</v>
      </c>
      <c r="J16" s="15">
        <v>428.97</v>
      </c>
      <c r="K16" s="15">
        <f t="shared" si="9"/>
        <v>428.97</v>
      </c>
      <c r="L16" s="15">
        <v>0</v>
      </c>
      <c r="M16" s="15">
        <v>0</v>
      </c>
      <c r="N16" s="15">
        <f t="shared" si="5"/>
        <v>472.5</v>
      </c>
      <c r="O16" s="15">
        <f t="shared" si="6"/>
        <v>901.47</v>
      </c>
      <c r="P16" s="18">
        <f t="shared" si="7"/>
        <v>3598.5299999999997</v>
      </c>
      <c r="Q16" s="10">
        <v>458.64</v>
      </c>
      <c r="R16" s="10">
        <v>742.5</v>
      </c>
      <c r="S16" s="35">
        <f t="shared" ref="S16:S18" si="10">Q16+R16</f>
        <v>1201.1399999999999</v>
      </c>
    </row>
    <row r="17" spans="1:19" x14ac:dyDescent="0.25">
      <c r="B17" t="s">
        <v>116</v>
      </c>
      <c r="C17" t="s">
        <v>89</v>
      </c>
      <c r="D17" t="s">
        <v>4</v>
      </c>
      <c r="E17" s="15">
        <v>2700</v>
      </c>
      <c r="F17" s="29">
        <v>15</v>
      </c>
      <c r="G17" s="15">
        <v>0</v>
      </c>
      <c r="H17" s="15">
        <f t="shared" si="8"/>
        <v>2700</v>
      </c>
      <c r="I17" s="15">
        <v>147.32</v>
      </c>
      <c r="J17" s="15">
        <v>188.33</v>
      </c>
      <c r="K17" s="15">
        <f>J17-I17</f>
        <v>41.010000000000019</v>
      </c>
      <c r="L17" s="15">
        <v>0</v>
      </c>
      <c r="M17" s="15">
        <v>0</v>
      </c>
      <c r="N17" s="15">
        <f t="shared" si="5"/>
        <v>283.5</v>
      </c>
      <c r="O17" s="15">
        <f>SUM(K17:N17)</f>
        <v>324.51</v>
      </c>
      <c r="P17" s="18">
        <f t="shared" si="7"/>
        <v>2375.4899999999998</v>
      </c>
      <c r="Q17" s="10">
        <v>348.07</v>
      </c>
      <c r="R17" s="10">
        <v>445.5</v>
      </c>
      <c r="S17" s="35">
        <f t="shared" si="10"/>
        <v>793.56999999999994</v>
      </c>
    </row>
    <row r="18" spans="1:19" x14ac:dyDescent="0.25">
      <c r="B18" t="s">
        <v>117</v>
      </c>
      <c r="C18" t="s">
        <v>88</v>
      </c>
      <c r="D18" t="s">
        <v>40</v>
      </c>
      <c r="E18" s="15">
        <v>3150</v>
      </c>
      <c r="F18" s="29">
        <v>15</v>
      </c>
      <c r="G18" s="15">
        <v>0</v>
      </c>
      <c r="H18" s="15">
        <f t="shared" si="8"/>
        <v>3150</v>
      </c>
      <c r="I18" s="15">
        <v>126.77</v>
      </c>
      <c r="J18" s="15">
        <v>237.29</v>
      </c>
      <c r="K18" s="15">
        <f>J18-I18</f>
        <v>110.52</v>
      </c>
      <c r="L18" s="15">
        <v>0</v>
      </c>
      <c r="M18" s="15">
        <v>0</v>
      </c>
      <c r="N18" s="15">
        <f t="shared" si="5"/>
        <v>330.75</v>
      </c>
      <c r="O18" s="15">
        <f>SUM(K18:N18)</f>
        <v>441.27</v>
      </c>
      <c r="P18" s="18">
        <f t="shared" si="7"/>
        <v>2708.73</v>
      </c>
      <c r="Q18" s="10">
        <v>375.71</v>
      </c>
      <c r="R18" s="10">
        <v>519.75</v>
      </c>
      <c r="S18" s="35">
        <f t="shared" si="10"/>
        <v>895.46</v>
      </c>
    </row>
    <row r="19" spans="1:19" x14ac:dyDescent="0.25">
      <c r="A19" t="s">
        <v>136</v>
      </c>
      <c r="B19" s="2" t="s">
        <v>26</v>
      </c>
      <c r="E19" s="34">
        <f t="shared" ref="E19:S19" si="11">SUM(E11:E18)</f>
        <v>40837</v>
      </c>
      <c r="F19" s="34"/>
      <c r="G19" s="34">
        <f t="shared" si="11"/>
        <v>0</v>
      </c>
      <c r="H19" s="34">
        <f t="shared" si="11"/>
        <v>40837</v>
      </c>
      <c r="I19" s="34">
        <f t="shared" si="11"/>
        <v>274.08999999999997</v>
      </c>
      <c r="J19" s="34">
        <f t="shared" si="11"/>
        <v>4633.76</v>
      </c>
      <c r="K19" s="34">
        <f t="shared" si="11"/>
        <v>4359.670000000001</v>
      </c>
      <c r="L19" s="34">
        <f t="shared" si="11"/>
        <v>0</v>
      </c>
      <c r="M19" s="34">
        <f t="shared" si="11"/>
        <v>0</v>
      </c>
      <c r="N19" s="34">
        <f t="shared" si="11"/>
        <v>4287.8850000000002</v>
      </c>
      <c r="O19" s="34">
        <f t="shared" si="11"/>
        <v>8647.5550000000003</v>
      </c>
      <c r="P19" s="34">
        <f t="shared" si="11"/>
        <v>32189.444999999996</v>
      </c>
      <c r="Q19" s="34">
        <f t="shared" si="11"/>
        <v>4040.8100000000004</v>
      </c>
      <c r="R19" s="34">
        <f t="shared" si="11"/>
        <v>6938.25</v>
      </c>
      <c r="S19" s="34">
        <f t="shared" si="11"/>
        <v>10979.059999999998</v>
      </c>
    </row>
    <row r="20" spans="1:19" x14ac:dyDescent="0.25">
      <c r="B20" s="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9" x14ac:dyDescent="0.25">
      <c r="B21" s="2" t="s">
        <v>43</v>
      </c>
      <c r="C21" s="2" t="s">
        <v>44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x14ac:dyDescent="0.25">
      <c r="B22" t="s">
        <v>118</v>
      </c>
      <c r="C22" t="s">
        <v>90</v>
      </c>
      <c r="D22" t="s">
        <v>6</v>
      </c>
      <c r="E22" s="15">
        <v>0</v>
      </c>
      <c r="F22" s="29"/>
      <c r="G22" s="15">
        <v>0</v>
      </c>
      <c r="H22" s="15">
        <v>0</v>
      </c>
      <c r="I22" s="15">
        <v>0</v>
      </c>
      <c r="J22" s="15">
        <v>0</v>
      </c>
      <c r="K22" s="15">
        <f>J22-I22</f>
        <v>0</v>
      </c>
      <c r="L22" s="15">
        <v>0</v>
      </c>
      <c r="M22" s="15">
        <v>0</v>
      </c>
      <c r="N22" s="15">
        <f>E22*0.105</f>
        <v>0</v>
      </c>
      <c r="O22" s="15">
        <f>SUM(K22:N22)</f>
        <v>0</v>
      </c>
      <c r="P22" s="18">
        <v>0</v>
      </c>
      <c r="Q22" s="36">
        <v>0</v>
      </c>
      <c r="R22" s="36">
        <v>0</v>
      </c>
      <c r="S22" s="35">
        <v>0</v>
      </c>
    </row>
    <row r="23" spans="1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E23+G23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E23*0.105</f>
        <v>561.75</v>
      </c>
      <c r="O23" s="15">
        <f>SUM(K23:N23)</f>
        <v>1149.95</v>
      </c>
      <c r="P23" s="18">
        <f>H23-O23</f>
        <v>4200.05</v>
      </c>
      <c r="Q23" s="10">
        <v>510.86</v>
      </c>
      <c r="R23" s="10">
        <v>882.75</v>
      </c>
      <c r="S23" s="35">
        <f>Q23+R23</f>
        <v>1393.6100000000001</v>
      </c>
    </row>
    <row r="24" spans="1:19" x14ac:dyDescent="0.25">
      <c r="A24" t="s">
        <v>134</v>
      </c>
      <c r="B24" s="2" t="s">
        <v>26</v>
      </c>
      <c r="E24" s="34">
        <f>SUM(E22:E23)</f>
        <v>5350</v>
      </c>
      <c r="F24" s="34"/>
      <c r="G24" s="34">
        <f>G23</f>
        <v>0</v>
      </c>
      <c r="H24" s="34">
        <f>SUM(H22:H23)</f>
        <v>5350</v>
      </c>
      <c r="I24" s="34">
        <f t="shared" ref="I24:S24" si="12">SUM(I22:I23)</f>
        <v>0</v>
      </c>
      <c r="J24" s="34">
        <f t="shared" si="12"/>
        <v>588.20000000000005</v>
      </c>
      <c r="K24" s="34">
        <f t="shared" si="12"/>
        <v>588.20000000000005</v>
      </c>
      <c r="L24" s="34">
        <f t="shared" si="12"/>
        <v>0</v>
      </c>
      <c r="M24" s="34">
        <f t="shared" si="12"/>
        <v>0</v>
      </c>
      <c r="N24" s="34">
        <f t="shared" si="12"/>
        <v>561.75</v>
      </c>
      <c r="O24" s="34">
        <f t="shared" si="12"/>
        <v>1149.95</v>
      </c>
      <c r="P24" s="34">
        <f t="shared" si="12"/>
        <v>4200.05</v>
      </c>
      <c r="Q24" s="34">
        <f t="shared" si="12"/>
        <v>510.86</v>
      </c>
      <c r="R24" s="34">
        <f t="shared" si="12"/>
        <v>882.75</v>
      </c>
      <c r="S24" s="34">
        <f t="shared" si="12"/>
        <v>1393.6100000000001</v>
      </c>
    </row>
    <row r="25" spans="1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</v>
      </c>
      <c r="H27" s="15">
        <f>E27+G27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E27*0.105</f>
        <v>561.75</v>
      </c>
      <c r="O27" s="15">
        <f>SUM(K27:N27)</f>
        <v>1149.95</v>
      </c>
      <c r="P27" s="18">
        <f>H27-O27</f>
        <v>4200.05</v>
      </c>
      <c r="Q27" s="10">
        <v>510.86</v>
      </c>
      <c r="R27" s="10">
        <v>882.75</v>
      </c>
      <c r="S27" s="35">
        <f>Q27+R27</f>
        <v>1393.6100000000001</v>
      </c>
    </row>
    <row r="28" spans="1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E28*0.105</f>
        <v>561.75</v>
      </c>
      <c r="O28" s="15">
        <f>SUM(K28:N28)</f>
        <v>1149.95</v>
      </c>
      <c r="P28" s="18">
        <f>H28-O28</f>
        <v>4200.05</v>
      </c>
      <c r="Q28" s="10">
        <v>510.86</v>
      </c>
      <c r="R28" s="10">
        <v>882.75</v>
      </c>
      <c r="S28" s="35">
        <f>Q28+R28</f>
        <v>1393.6100000000001</v>
      </c>
    </row>
    <row r="29" spans="1:19" x14ac:dyDescent="0.25">
      <c r="A29" t="s">
        <v>137</v>
      </c>
      <c r="B29" s="2" t="s">
        <v>26</v>
      </c>
      <c r="E29" s="34">
        <f>SUM(E27:E28)</f>
        <v>10700</v>
      </c>
      <c r="F29" s="34"/>
      <c r="G29" s="34">
        <f>SUM(G27:G28)</f>
        <v>0</v>
      </c>
      <c r="H29" s="34">
        <f>SUM(H27:H28)</f>
        <v>10700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1123.5</v>
      </c>
      <c r="O29" s="34">
        <f t="shared" si="13"/>
        <v>2299.9</v>
      </c>
      <c r="P29" s="34">
        <f t="shared" si="13"/>
        <v>8400.1</v>
      </c>
      <c r="Q29" s="34">
        <f t="shared" si="13"/>
        <v>1021.72</v>
      </c>
      <c r="R29" s="34">
        <f t="shared" si="13"/>
        <v>1765.5</v>
      </c>
      <c r="S29" s="34">
        <f t="shared" si="13"/>
        <v>2787.2200000000003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 t="shared" ref="N32:N42" si="14">E32*0.105</f>
        <v>561.75</v>
      </c>
      <c r="O32" s="15">
        <f>SUM(K32:N32)</f>
        <v>1149.95</v>
      </c>
      <c r="P32" s="18">
        <f t="shared" ref="P32:P42" si="15">H32-O32</f>
        <v>4200.05</v>
      </c>
      <c r="Q32" s="10">
        <v>510.86</v>
      </c>
      <c r="R32" s="10">
        <v>882.75</v>
      </c>
      <c r="S32" s="35">
        <f t="shared" ref="S32:S42" si="16">Q32+R32</f>
        <v>1393.6100000000001</v>
      </c>
    </row>
    <row r="33" spans="1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7">E33+G33</f>
        <v>5350</v>
      </c>
      <c r="I33" s="15">
        <v>0</v>
      </c>
      <c r="J33" s="15">
        <v>588.20000000000005</v>
      </c>
      <c r="K33" s="15">
        <f t="shared" ref="K33:K42" si="18">J33-I33</f>
        <v>588.20000000000005</v>
      </c>
      <c r="L33" s="15">
        <v>0</v>
      </c>
      <c r="M33" s="15">
        <v>0</v>
      </c>
      <c r="N33" s="15">
        <f t="shared" si="14"/>
        <v>561.75</v>
      </c>
      <c r="O33" s="15">
        <f t="shared" ref="O33:O42" si="19">SUM(K33:N33)</f>
        <v>1149.95</v>
      </c>
      <c r="P33" s="18">
        <f t="shared" si="15"/>
        <v>4200.05</v>
      </c>
      <c r="Q33" s="10">
        <v>510.86</v>
      </c>
      <c r="R33" s="10">
        <v>882.75</v>
      </c>
      <c r="S33" s="35">
        <f t="shared" si="16"/>
        <v>1393.6100000000001</v>
      </c>
    </row>
    <row r="34" spans="1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7"/>
        <v>5350</v>
      </c>
      <c r="I34" s="15">
        <v>0</v>
      </c>
      <c r="J34" s="15">
        <v>588.20000000000005</v>
      </c>
      <c r="K34" s="15">
        <f t="shared" si="18"/>
        <v>588.20000000000005</v>
      </c>
      <c r="L34" s="15">
        <v>0</v>
      </c>
      <c r="M34" s="15">
        <v>0</v>
      </c>
      <c r="N34" s="15">
        <f t="shared" si="14"/>
        <v>561.75</v>
      </c>
      <c r="O34" s="15">
        <f t="shared" si="19"/>
        <v>1149.95</v>
      </c>
      <c r="P34" s="18">
        <f t="shared" si="15"/>
        <v>4200.05</v>
      </c>
      <c r="Q34" s="10">
        <v>510.86</v>
      </c>
      <c r="R34" s="10">
        <v>882.75</v>
      </c>
      <c r="S34" s="35">
        <f t="shared" si="16"/>
        <v>1393.6100000000001</v>
      </c>
    </row>
    <row r="35" spans="1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7"/>
        <v>5350</v>
      </c>
      <c r="I35" s="15">
        <v>0</v>
      </c>
      <c r="J35" s="15">
        <v>588.20000000000005</v>
      </c>
      <c r="K35" s="15">
        <f t="shared" si="18"/>
        <v>588.20000000000005</v>
      </c>
      <c r="L35" s="15">
        <v>0</v>
      </c>
      <c r="M35" s="15">
        <v>0</v>
      </c>
      <c r="N35" s="15">
        <f t="shared" si="14"/>
        <v>561.75</v>
      </c>
      <c r="O35" s="15">
        <f t="shared" si="19"/>
        <v>1149.95</v>
      </c>
      <c r="P35" s="18">
        <f t="shared" si="15"/>
        <v>4200.05</v>
      </c>
      <c r="Q35" s="10">
        <v>510.86</v>
      </c>
      <c r="R35" s="10">
        <v>882.75</v>
      </c>
      <c r="S35" s="35">
        <f t="shared" si="16"/>
        <v>1393.6100000000001</v>
      </c>
    </row>
    <row r="36" spans="1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7"/>
        <v>5350</v>
      </c>
      <c r="I36" s="15">
        <v>0</v>
      </c>
      <c r="J36" s="15">
        <v>588.20000000000005</v>
      </c>
      <c r="K36" s="15">
        <f t="shared" si="18"/>
        <v>588.20000000000005</v>
      </c>
      <c r="L36" s="15">
        <v>0</v>
      </c>
      <c r="M36" s="15">
        <v>0</v>
      </c>
      <c r="N36" s="15">
        <f t="shared" si="14"/>
        <v>561.75</v>
      </c>
      <c r="O36" s="15">
        <f t="shared" si="19"/>
        <v>1149.95</v>
      </c>
      <c r="P36" s="18">
        <f t="shared" si="15"/>
        <v>4200.05</v>
      </c>
      <c r="Q36" s="10">
        <v>510.86</v>
      </c>
      <c r="R36" s="10">
        <v>882.75</v>
      </c>
      <c r="S36" s="35">
        <f t="shared" si="16"/>
        <v>1393.6100000000001</v>
      </c>
    </row>
    <row r="37" spans="1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7"/>
        <v>5350</v>
      </c>
      <c r="I37" s="15">
        <v>0</v>
      </c>
      <c r="J37" s="15">
        <v>588.20000000000005</v>
      </c>
      <c r="K37" s="15">
        <f t="shared" si="18"/>
        <v>588.20000000000005</v>
      </c>
      <c r="L37" s="15">
        <v>0</v>
      </c>
      <c r="M37" s="15">
        <v>0</v>
      </c>
      <c r="N37" s="15">
        <f t="shared" si="14"/>
        <v>561.75</v>
      </c>
      <c r="O37" s="15">
        <f t="shared" si="19"/>
        <v>1149.95</v>
      </c>
      <c r="P37" s="18">
        <f t="shared" si="15"/>
        <v>4200.05</v>
      </c>
      <c r="Q37" s="10">
        <v>510.86</v>
      </c>
      <c r="R37" s="10">
        <v>882.75</v>
      </c>
      <c r="S37" s="35">
        <f t="shared" si="16"/>
        <v>1393.6100000000001</v>
      </c>
    </row>
    <row r="38" spans="1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7"/>
        <v>5350</v>
      </c>
      <c r="I38" s="15">
        <v>0</v>
      </c>
      <c r="J38" s="15">
        <v>588.20000000000005</v>
      </c>
      <c r="K38" s="15">
        <f t="shared" si="18"/>
        <v>588.20000000000005</v>
      </c>
      <c r="L38" s="15">
        <v>0</v>
      </c>
      <c r="M38" s="15">
        <v>0</v>
      </c>
      <c r="N38" s="15">
        <f t="shared" si="14"/>
        <v>561.75</v>
      </c>
      <c r="O38" s="15">
        <f t="shared" si="19"/>
        <v>1149.95</v>
      </c>
      <c r="P38" s="18">
        <f t="shared" si="15"/>
        <v>4200.05</v>
      </c>
      <c r="Q38" s="10">
        <v>510.86</v>
      </c>
      <c r="R38" s="10">
        <v>882.75</v>
      </c>
      <c r="S38" s="35">
        <f t="shared" si="16"/>
        <v>1393.6100000000001</v>
      </c>
    </row>
    <row r="39" spans="1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4"/>
        <v>561.75</v>
      </c>
      <c r="O39" s="15">
        <f t="shared" si="19"/>
        <v>1149.95</v>
      </c>
      <c r="P39" s="18">
        <f t="shared" si="15"/>
        <v>4200.05</v>
      </c>
      <c r="Q39" s="10">
        <v>510.86</v>
      </c>
      <c r="R39" s="10">
        <v>882.75</v>
      </c>
      <c r="S39" s="35">
        <f t="shared" si="16"/>
        <v>1393.6100000000001</v>
      </c>
    </row>
    <row r="40" spans="1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4"/>
        <v>561.75</v>
      </c>
      <c r="O40" s="15">
        <f t="shared" si="19"/>
        <v>1149.95</v>
      </c>
      <c r="P40" s="18">
        <f t="shared" si="15"/>
        <v>4200.05</v>
      </c>
      <c r="Q40" s="10">
        <v>510.86</v>
      </c>
      <c r="R40" s="10">
        <v>882.75</v>
      </c>
      <c r="S40" s="35">
        <f t="shared" si="16"/>
        <v>1393.6100000000001</v>
      </c>
    </row>
    <row r="41" spans="1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4"/>
        <v>561.75</v>
      </c>
      <c r="O41" s="15">
        <f t="shared" si="19"/>
        <v>1149.95</v>
      </c>
      <c r="P41" s="18">
        <f t="shared" si="15"/>
        <v>4200.05</v>
      </c>
      <c r="Q41" s="10">
        <v>510.86</v>
      </c>
      <c r="R41" s="10">
        <v>882.75</v>
      </c>
      <c r="S41" s="35">
        <f t="shared" si="16"/>
        <v>1393.6100000000001</v>
      </c>
    </row>
    <row r="42" spans="1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4"/>
        <v>561.75</v>
      </c>
      <c r="O42" s="15">
        <f t="shared" si="19"/>
        <v>1149.95</v>
      </c>
      <c r="P42" s="18">
        <f t="shared" si="15"/>
        <v>4200.05</v>
      </c>
      <c r="Q42" s="10">
        <v>510.86</v>
      </c>
      <c r="R42" s="10">
        <v>882.75</v>
      </c>
      <c r="S42" s="35">
        <f t="shared" si="16"/>
        <v>1393.6100000000001</v>
      </c>
    </row>
    <row r="43" spans="1:19" x14ac:dyDescent="0.25">
      <c r="A43" t="s">
        <v>138</v>
      </c>
      <c r="B43" s="2" t="s">
        <v>26</v>
      </c>
      <c r="E43" s="34">
        <f>SUM(E32:E42)</f>
        <v>58850</v>
      </c>
      <c r="F43" s="34"/>
      <c r="G43" s="34">
        <f>SUM(G32:G42)</f>
        <v>0</v>
      </c>
      <c r="H43" s="34">
        <f>SUM(H32:H42)</f>
        <v>58850</v>
      </c>
      <c r="I43" s="34">
        <f t="shared" ref="I43:S43" si="20">SUM(I32:I42)</f>
        <v>0</v>
      </c>
      <c r="J43" s="34">
        <f t="shared" si="20"/>
        <v>6470.1999999999989</v>
      </c>
      <c r="K43" s="34">
        <f t="shared" si="20"/>
        <v>6470.1999999999989</v>
      </c>
      <c r="L43" s="34">
        <f t="shared" si="20"/>
        <v>0</v>
      </c>
      <c r="M43" s="34">
        <f t="shared" si="20"/>
        <v>0</v>
      </c>
      <c r="N43" s="34">
        <f t="shared" si="20"/>
        <v>6179.25</v>
      </c>
      <c r="O43" s="34">
        <f t="shared" si="20"/>
        <v>12649.450000000003</v>
      </c>
      <c r="P43" s="34">
        <f t="shared" si="20"/>
        <v>46200.55000000001</v>
      </c>
      <c r="Q43" s="34">
        <f t="shared" si="20"/>
        <v>5619.46</v>
      </c>
      <c r="R43" s="34">
        <f t="shared" si="20"/>
        <v>9710.25</v>
      </c>
      <c r="S43" s="34">
        <f t="shared" si="20"/>
        <v>15329.710000000005</v>
      </c>
    </row>
    <row r="44" spans="1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0</v>
      </c>
      <c r="H46" s="15">
        <f>E46+G46</f>
        <v>5350</v>
      </c>
      <c r="I46" s="15">
        <v>0</v>
      </c>
      <c r="J46" s="15">
        <v>588.20000000000005</v>
      </c>
      <c r="K46" s="15">
        <f>J46-I46</f>
        <v>588.20000000000005</v>
      </c>
      <c r="L46" s="15">
        <v>0</v>
      </c>
      <c r="M46" s="15">
        <v>0</v>
      </c>
      <c r="N46" s="15">
        <f>E46*0.105</f>
        <v>561.75</v>
      </c>
      <c r="O46" s="15">
        <f>SUM(K46:N46)</f>
        <v>1149.95</v>
      </c>
      <c r="P46" s="18">
        <f>H46-O46</f>
        <v>4200.05</v>
      </c>
      <c r="Q46" s="10">
        <v>510.86</v>
      </c>
      <c r="R46" s="10">
        <v>882.75</v>
      </c>
      <c r="S46" s="35">
        <f t="shared" ref="S46" si="21">Q46+R46</f>
        <v>1393.6100000000001</v>
      </c>
    </row>
    <row r="47" spans="1:19" x14ac:dyDescent="0.25">
      <c r="A47" t="s">
        <v>139</v>
      </c>
      <c r="B47" s="2" t="s">
        <v>26</v>
      </c>
      <c r="E47" s="34">
        <f>E46</f>
        <v>5350</v>
      </c>
      <c r="F47" s="34"/>
      <c r="G47" s="34">
        <f>G46</f>
        <v>0</v>
      </c>
      <c r="H47" s="34">
        <f>H46</f>
        <v>5350</v>
      </c>
      <c r="I47" s="34">
        <f t="shared" ref="I47:S47" si="22">I46</f>
        <v>0</v>
      </c>
      <c r="J47" s="34">
        <f t="shared" si="22"/>
        <v>588.20000000000005</v>
      </c>
      <c r="K47" s="34">
        <f t="shared" si="22"/>
        <v>588.20000000000005</v>
      </c>
      <c r="L47" s="34">
        <f t="shared" si="22"/>
        <v>0</v>
      </c>
      <c r="M47" s="34">
        <f t="shared" si="22"/>
        <v>0</v>
      </c>
      <c r="N47" s="34">
        <f t="shared" si="22"/>
        <v>561.75</v>
      </c>
      <c r="O47" s="34">
        <f t="shared" si="22"/>
        <v>1149.95</v>
      </c>
      <c r="P47" s="34">
        <f t="shared" si="22"/>
        <v>4200.05</v>
      </c>
      <c r="Q47" s="34">
        <f t="shared" si="22"/>
        <v>510.86</v>
      </c>
      <c r="R47" s="34">
        <f t="shared" si="22"/>
        <v>882.75</v>
      </c>
      <c r="S47" s="34">
        <f t="shared" si="22"/>
        <v>1393.6100000000001</v>
      </c>
    </row>
    <row r="48" spans="1:19" x14ac:dyDescent="0.25">
      <c r="B48" s="2"/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8"/>
      <c r="R48" s="8"/>
      <c r="S48" s="8"/>
    </row>
    <row r="49" spans="4:19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4:19" ht="18.75" x14ac:dyDescent="0.3">
      <c r="D50" s="4" t="s">
        <v>105</v>
      </c>
      <c r="E50" s="17">
        <f>E8+E19+E24+E29+E43+E47+E48</f>
        <v>152891.95000000001</v>
      </c>
      <c r="F50" s="17">
        <f t="shared" ref="F50:S50" si="23">F8+F19+F24+F29+F43+F47+F48</f>
        <v>0</v>
      </c>
      <c r="G50" s="17">
        <f t="shared" si="23"/>
        <v>0</v>
      </c>
      <c r="H50" s="17">
        <f t="shared" si="23"/>
        <v>152891.95000000001</v>
      </c>
      <c r="I50" s="17">
        <f t="shared" si="23"/>
        <v>274.08999999999997</v>
      </c>
      <c r="J50" s="17">
        <f t="shared" si="23"/>
        <v>18776.82</v>
      </c>
      <c r="K50" s="17">
        <f t="shared" si="23"/>
        <v>18502.73</v>
      </c>
      <c r="L50" s="17">
        <f t="shared" si="23"/>
        <v>0</v>
      </c>
      <c r="M50" s="17">
        <f t="shared" si="23"/>
        <v>0</v>
      </c>
      <c r="N50" s="17">
        <f t="shared" si="23"/>
        <v>16053.65475</v>
      </c>
      <c r="O50" s="17">
        <f t="shared" si="23"/>
        <v>34556.384750000005</v>
      </c>
      <c r="P50" s="17">
        <f t="shared" si="23"/>
        <v>118335.56525000003</v>
      </c>
      <c r="Q50" s="17">
        <f t="shared" si="23"/>
        <v>14204.14</v>
      </c>
      <c r="R50" s="17">
        <f t="shared" si="23"/>
        <v>25427.309999999998</v>
      </c>
      <c r="S50" s="17">
        <f t="shared" si="23"/>
        <v>39631.450000000004</v>
      </c>
    </row>
    <row r="53" spans="4:19" ht="15.75" thickBot="1" x14ac:dyDescent="0.3">
      <c r="E53" s="89"/>
      <c r="F53" s="89"/>
      <c r="G53" s="89"/>
      <c r="J53" s="89"/>
      <c r="K53" s="89"/>
      <c r="L53" s="89"/>
    </row>
    <row r="54" spans="4:19" x14ac:dyDescent="0.25">
      <c r="E54" s="91" t="s">
        <v>146</v>
      </c>
      <c r="F54" s="91"/>
      <c r="G54" s="91"/>
      <c r="J54" s="92" t="s">
        <v>145</v>
      </c>
      <c r="K54" s="92"/>
      <c r="L54" s="92"/>
    </row>
    <row r="55" spans="4:19" ht="15.75" x14ac:dyDescent="0.3">
      <c r="E55" s="93" t="s">
        <v>144</v>
      </c>
      <c r="F55" s="93"/>
      <c r="G55" s="91"/>
      <c r="J55" s="93" t="s">
        <v>145</v>
      </c>
      <c r="K55" s="93"/>
      <c r="L55" s="93"/>
    </row>
  </sheetData>
  <mergeCells count="8">
    <mergeCell ref="E55:G55"/>
    <mergeCell ref="J55:L55"/>
    <mergeCell ref="C1:D1"/>
    <mergeCell ref="E2:S2"/>
    <mergeCell ref="E53:G53"/>
    <mergeCell ref="J53:L53"/>
    <mergeCell ref="E54:G54"/>
    <mergeCell ref="J54:L5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9"/>
  <sheetViews>
    <sheetView workbookViewId="0">
      <pane xSplit="4" ySplit="4" topLeftCell="E38" activePane="bottomRight" state="frozen"/>
      <selection pane="topRight" activeCell="E1" sqref="E1"/>
      <selection pane="bottomLeft" activeCell="A4" sqref="A4"/>
      <selection pane="bottomRight" activeCell="H51" activeCellId="1" sqref="S51 H51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6" max="7" width="11.42578125" customWidth="1"/>
    <col min="8" max="8" width="21" customWidth="1"/>
    <col min="9" max="9" width="11.42578125" customWidth="1"/>
    <col min="10" max="10" width="14.5703125" customWidth="1"/>
    <col min="11" max="11" width="13.42578125" customWidth="1"/>
    <col min="12" max="13" width="11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2" spans="2:19" ht="18.75" x14ac:dyDescent="0.25">
      <c r="C2" s="86" t="s">
        <v>153</v>
      </c>
      <c r="D2" s="8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9" ht="15.75" thickBot="1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2:19" ht="36" thickTop="1" thickBot="1" x14ac:dyDescent="0.3">
      <c r="B4" s="31" t="s">
        <v>9</v>
      </c>
      <c r="C4" s="32" t="s">
        <v>10</v>
      </c>
      <c r="D4" s="32" t="s">
        <v>0</v>
      </c>
      <c r="E4" s="39" t="s">
        <v>11</v>
      </c>
      <c r="F4" s="39" t="s">
        <v>150</v>
      </c>
      <c r="G4" s="40" t="s">
        <v>113</v>
      </c>
      <c r="H4" s="39" t="s">
        <v>12</v>
      </c>
      <c r="I4" s="39" t="s">
        <v>107</v>
      </c>
      <c r="J4" s="39" t="s">
        <v>143</v>
      </c>
      <c r="K4" s="39" t="s">
        <v>13</v>
      </c>
      <c r="L4" s="39" t="s">
        <v>15</v>
      </c>
      <c r="M4" s="39" t="s">
        <v>106</v>
      </c>
      <c r="N4" s="39" t="s">
        <v>16</v>
      </c>
      <c r="O4" s="39" t="s">
        <v>17</v>
      </c>
      <c r="P4" s="39" t="s">
        <v>72</v>
      </c>
      <c r="Q4" s="32" t="s">
        <v>8</v>
      </c>
      <c r="R4" s="32" t="s">
        <v>18</v>
      </c>
      <c r="S4" s="41" t="s">
        <v>73</v>
      </c>
    </row>
    <row r="5" spans="2:19" ht="15.75" thickTop="1" x14ac:dyDescent="0.25">
      <c r="B5" s="2" t="s">
        <v>19</v>
      </c>
      <c r="C5" s="2" t="s">
        <v>20</v>
      </c>
      <c r="D5" s="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9" x14ac:dyDescent="0.25">
      <c r="B6" t="s">
        <v>21</v>
      </c>
      <c r="C6" s="11" t="s">
        <v>22</v>
      </c>
      <c r="D6" t="s">
        <v>25</v>
      </c>
      <c r="E6" s="15">
        <v>16954.95</v>
      </c>
      <c r="F6" s="29">
        <v>15</v>
      </c>
      <c r="G6" s="15">
        <v>0</v>
      </c>
      <c r="H6" s="15">
        <f>E6+G6</f>
        <v>16954.95</v>
      </c>
      <c r="I6" s="15">
        <v>0</v>
      </c>
      <c r="J6" s="15">
        <v>3246.93</v>
      </c>
      <c r="K6" s="15">
        <f>J6-I6</f>
        <v>3246.93</v>
      </c>
      <c r="L6" s="15">
        <v>0</v>
      </c>
      <c r="M6" s="15">
        <v>0</v>
      </c>
      <c r="N6" s="15">
        <f>E6*0.115</f>
        <v>1949.8192500000002</v>
      </c>
      <c r="O6" s="15">
        <f>SUM(K6:N6)</f>
        <v>5196.7492499999998</v>
      </c>
      <c r="P6" s="18">
        <f>H6-O6</f>
        <v>11758.20075</v>
      </c>
      <c r="Q6" s="10">
        <v>328.67</v>
      </c>
      <c r="R6" s="10">
        <v>3390.99</v>
      </c>
      <c r="S6" s="35">
        <f>SUM(Q6:R6)</f>
        <v>3719.66</v>
      </c>
    </row>
    <row r="7" spans="2:19" x14ac:dyDescent="0.25">
      <c r="B7" t="s">
        <v>23</v>
      </c>
      <c r="C7" s="11" t="s">
        <v>24</v>
      </c>
      <c r="D7" t="s">
        <v>3</v>
      </c>
      <c r="E7" s="15">
        <v>4850</v>
      </c>
      <c r="F7" s="29">
        <v>15</v>
      </c>
      <c r="G7" s="15">
        <v>0</v>
      </c>
      <c r="H7" s="15">
        <f t="shared" ref="H7" si="0">E7+G7</f>
        <v>4850</v>
      </c>
      <c r="I7" s="15">
        <v>0</v>
      </c>
      <c r="J7" s="15">
        <v>491.69</v>
      </c>
      <c r="K7" s="15">
        <f t="shared" ref="K7:K8" si="1">J7-I7</f>
        <v>491.69</v>
      </c>
      <c r="L7" s="15">
        <v>0</v>
      </c>
      <c r="M7" s="15">
        <v>0</v>
      </c>
      <c r="N7" s="15">
        <f>E7*0.115</f>
        <v>557.75</v>
      </c>
      <c r="O7" s="15">
        <f t="shared" ref="O7:O8" si="2">SUM(K7:N7)</f>
        <v>1049.44</v>
      </c>
      <c r="P7" s="18">
        <f>H7-O7</f>
        <v>3800.56</v>
      </c>
      <c r="Q7" s="10">
        <v>253.58</v>
      </c>
      <c r="R7" s="10">
        <v>970</v>
      </c>
      <c r="S7" s="35">
        <f t="shared" ref="S7:S8" si="3">SUM(Q7:R7)</f>
        <v>1223.58</v>
      </c>
    </row>
    <row r="8" spans="2:19" x14ac:dyDescent="0.25">
      <c r="B8" t="s">
        <v>41</v>
      </c>
      <c r="C8" s="11" t="s">
        <v>42</v>
      </c>
      <c r="D8" t="s">
        <v>2</v>
      </c>
      <c r="E8" s="15">
        <v>10000</v>
      </c>
      <c r="F8" s="29">
        <v>15</v>
      </c>
      <c r="G8" s="15">
        <v>0</v>
      </c>
      <c r="H8" s="15">
        <v>10000</v>
      </c>
      <c r="I8" s="15">
        <v>0</v>
      </c>
      <c r="J8" s="15">
        <v>1581.44</v>
      </c>
      <c r="K8" s="15">
        <f t="shared" si="1"/>
        <v>1581.44</v>
      </c>
      <c r="L8" s="15">
        <v>0</v>
      </c>
      <c r="M8" s="15">
        <v>0</v>
      </c>
      <c r="N8" s="15">
        <v>1150</v>
      </c>
      <c r="O8" s="15">
        <f t="shared" si="2"/>
        <v>2731.44</v>
      </c>
      <c r="P8" s="18">
        <f>H8-O8</f>
        <v>7268.5599999999995</v>
      </c>
      <c r="Q8" s="10">
        <v>285.52999999999997</v>
      </c>
      <c r="R8" s="10">
        <v>2000</v>
      </c>
      <c r="S8" s="35">
        <f t="shared" si="3"/>
        <v>2285.5299999999997</v>
      </c>
    </row>
    <row r="9" spans="2:19" s="30" customFormat="1" x14ac:dyDescent="0.25">
      <c r="B9" s="7" t="s">
        <v>26</v>
      </c>
      <c r="E9" s="34">
        <f>SUM(E6:E8)</f>
        <v>31804.95</v>
      </c>
      <c r="F9" s="34">
        <v>0</v>
      </c>
      <c r="G9" s="34">
        <f t="shared" ref="G9:S9" si="4">SUM(G6:G8)</f>
        <v>0</v>
      </c>
      <c r="H9" s="34">
        <f t="shared" si="4"/>
        <v>31804.95</v>
      </c>
      <c r="I9" s="34">
        <f t="shared" si="4"/>
        <v>0</v>
      </c>
      <c r="J9" s="34">
        <f t="shared" si="4"/>
        <v>5320.0599999999995</v>
      </c>
      <c r="K9" s="34">
        <f t="shared" si="4"/>
        <v>5320.0599999999995</v>
      </c>
      <c r="L9" s="34">
        <f t="shared" si="4"/>
        <v>0</v>
      </c>
      <c r="M9" s="34">
        <f t="shared" si="4"/>
        <v>0</v>
      </c>
      <c r="N9" s="34">
        <f t="shared" si="4"/>
        <v>3657.5692500000005</v>
      </c>
      <c r="O9" s="34">
        <f t="shared" si="4"/>
        <v>8977.62925</v>
      </c>
      <c r="P9" s="34">
        <f t="shared" si="4"/>
        <v>22827.320749999999</v>
      </c>
      <c r="Q9" s="34">
        <f t="shared" si="4"/>
        <v>867.78</v>
      </c>
      <c r="R9" s="34">
        <f t="shared" si="4"/>
        <v>6360.99</v>
      </c>
      <c r="S9" s="34">
        <f t="shared" si="4"/>
        <v>7228.7699999999995</v>
      </c>
    </row>
    <row r="10" spans="2:19" x14ac:dyDescent="0.25"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9" x14ac:dyDescent="0.25">
      <c r="B11" s="2" t="s">
        <v>27</v>
      </c>
      <c r="C11" s="2" t="s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x14ac:dyDescent="0.25">
      <c r="B12" t="s">
        <v>32</v>
      </c>
      <c r="C12" s="11" t="s">
        <v>37</v>
      </c>
      <c r="D12" t="s">
        <v>1</v>
      </c>
      <c r="E12" s="15">
        <v>10000</v>
      </c>
      <c r="F12" s="29">
        <v>15</v>
      </c>
      <c r="G12" s="15">
        <v>0</v>
      </c>
      <c r="H12" s="15">
        <f>E12+G12</f>
        <v>10000</v>
      </c>
      <c r="I12" s="15">
        <v>0</v>
      </c>
      <c r="J12" s="15">
        <v>1581.44</v>
      </c>
      <c r="K12" s="15">
        <f>J12-I12</f>
        <v>1581.44</v>
      </c>
      <c r="L12" s="15">
        <v>0</v>
      </c>
      <c r="M12" s="15">
        <v>0</v>
      </c>
      <c r="N12" s="15">
        <f>E12*0.115</f>
        <v>1150</v>
      </c>
      <c r="O12" s="15">
        <f t="shared" ref="O12:O17" si="5">SUM(K12:N12)</f>
        <v>2731.44</v>
      </c>
      <c r="P12" s="18">
        <f t="shared" ref="P12:P19" si="6">H12-O12</f>
        <v>7268.5599999999995</v>
      </c>
      <c r="Q12" s="10">
        <v>285.52999999999997</v>
      </c>
      <c r="R12" s="10">
        <v>2000</v>
      </c>
      <c r="S12" s="35">
        <f>Q12+R12</f>
        <v>2285.5299999999997</v>
      </c>
    </row>
    <row r="13" spans="2:19" x14ac:dyDescent="0.25">
      <c r="B13" t="s">
        <v>33</v>
      </c>
      <c r="C13" s="11" t="s">
        <v>38</v>
      </c>
      <c r="D13" t="s">
        <v>74</v>
      </c>
      <c r="E13" s="15">
        <v>5350</v>
      </c>
      <c r="F13" s="29">
        <v>15</v>
      </c>
      <c r="G13" s="19">
        <v>0</v>
      </c>
      <c r="H13" s="15">
        <f t="shared" ref="H13:H19" si="7">E13+G13</f>
        <v>5350</v>
      </c>
      <c r="I13" s="15">
        <v>0</v>
      </c>
      <c r="J13" s="15">
        <v>588.20000000000005</v>
      </c>
      <c r="K13" s="15">
        <f t="shared" ref="K13:K19" si="8">J13-I13</f>
        <v>588.20000000000005</v>
      </c>
      <c r="L13" s="15">
        <v>0</v>
      </c>
      <c r="M13" s="15">
        <v>0</v>
      </c>
      <c r="N13" s="15">
        <f t="shared" ref="N13:N19" si="9">E13*0.115</f>
        <v>615.25</v>
      </c>
      <c r="O13" s="15">
        <f t="shared" si="5"/>
        <v>1203.45</v>
      </c>
      <c r="P13" s="18">
        <f t="shared" si="6"/>
        <v>4146.55</v>
      </c>
      <c r="Q13" s="10">
        <v>256.68</v>
      </c>
      <c r="R13" s="10">
        <v>1070</v>
      </c>
      <c r="S13" s="35">
        <f>Q13+R13</f>
        <v>1326.68</v>
      </c>
    </row>
    <row r="14" spans="2:19" x14ac:dyDescent="0.25">
      <c r="B14" t="s">
        <v>34</v>
      </c>
      <c r="C14" t="s">
        <v>141</v>
      </c>
      <c r="D14" t="s">
        <v>75</v>
      </c>
      <c r="E14" s="21">
        <v>5350</v>
      </c>
      <c r="F14" s="29">
        <v>15</v>
      </c>
      <c r="G14" s="3">
        <v>0</v>
      </c>
      <c r="H14" s="15">
        <f t="shared" si="7"/>
        <v>5350</v>
      </c>
      <c r="I14" s="3">
        <v>0</v>
      </c>
      <c r="J14" s="3">
        <v>588.20000000000005</v>
      </c>
      <c r="K14" s="15">
        <f t="shared" si="8"/>
        <v>588.20000000000005</v>
      </c>
      <c r="L14" s="3">
        <v>0</v>
      </c>
      <c r="M14" s="3">
        <v>0</v>
      </c>
      <c r="N14" s="15">
        <f t="shared" si="9"/>
        <v>615.25</v>
      </c>
      <c r="O14" s="15">
        <f t="shared" si="5"/>
        <v>1203.45</v>
      </c>
      <c r="P14" s="18">
        <f t="shared" si="6"/>
        <v>4146.55</v>
      </c>
      <c r="Q14" s="27">
        <v>256.68</v>
      </c>
      <c r="R14" s="10">
        <v>1070</v>
      </c>
      <c r="S14" s="35">
        <f>Q14+R14</f>
        <v>1326.68</v>
      </c>
    </row>
    <row r="15" spans="2:19" x14ac:dyDescent="0.25">
      <c r="B15" t="s">
        <v>35</v>
      </c>
      <c r="C15" t="s">
        <v>111</v>
      </c>
      <c r="D15" t="s">
        <v>77</v>
      </c>
      <c r="E15" s="15">
        <v>6000</v>
      </c>
      <c r="F15" s="29">
        <v>15</v>
      </c>
      <c r="G15" s="15">
        <v>0</v>
      </c>
      <c r="H15" s="15">
        <f t="shared" si="7"/>
        <v>6000</v>
      </c>
      <c r="I15" s="15">
        <v>0</v>
      </c>
      <c r="J15" s="15">
        <v>727.04</v>
      </c>
      <c r="K15" s="15">
        <f t="shared" si="8"/>
        <v>727.04</v>
      </c>
      <c r="L15" s="15">
        <v>0</v>
      </c>
      <c r="M15" s="15">
        <v>0</v>
      </c>
      <c r="N15" s="15">
        <f t="shared" si="9"/>
        <v>690</v>
      </c>
      <c r="O15" s="15">
        <f t="shared" si="5"/>
        <v>1417.04</v>
      </c>
      <c r="P15" s="18">
        <f t="shared" si="6"/>
        <v>4582.96</v>
      </c>
      <c r="Q15" s="10">
        <v>260.72000000000003</v>
      </c>
      <c r="R15" s="10">
        <v>1200</v>
      </c>
      <c r="S15" s="35">
        <f>Q15+R15</f>
        <v>1460.72</v>
      </c>
    </row>
    <row r="16" spans="2:19" x14ac:dyDescent="0.25">
      <c r="B16" t="s">
        <v>36</v>
      </c>
      <c r="C16" t="s">
        <v>86</v>
      </c>
      <c r="D16" t="s">
        <v>39</v>
      </c>
      <c r="E16" s="15">
        <v>4500</v>
      </c>
      <c r="F16" s="29">
        <v>15</v>
      </c>
      <c r="G16" s="15">
        <v>0</v>
      </c>
      <c r="H16" s="15">
        <f t="shared" si="7"/>
        <v>4500</v>
      </c>
      <c r="I16" s="15">
        <v>0</v>
      </c>
      <c r="J16" s="15">
        <v>428.97</v>
      </c>
      <c r="K16" s="15">
        <f t="shared" si="8"/>
        <v>428.97</v>
      </c>
      <c r="L16" s="15">
        <v>0</v>
      </c>
      <c r="M16" s="15">
        <v>0</v>
      </c>
      <c r="N16" s="15">
        <f t="shared" si="9"/>
        <v>517.5</v>
      </c>
      <c r="O16" s="15">
        <f t="shared" si="5"/>
        <v>946.47</v>
      </c>
      <c r="P16" s="18">
        <f t="shared" si="6"/>
        <v>3553.5299999999997</v>
      </c>
      <c r="Q16" s="10">
        <v>251.41</v>
      </c>
      <c r="R16" s="10">
        <v>900</v>
      </c>
      <c r="S16" s="35">
        <f>Q16+R16</f>
        <v>1151.4100000000001</v>
      </c>
    </row>
    <row r="17" spans="2:19" x14ac:dyDescent="0.25">
      <c r="B17" t="s">
        <v>115</v>
      </c>
      <c r="C17" t="s">
        <v>87</v>
      </c>
      <c r="D17" t="s">
        <v>39</v>
      </c>
      <c r="E17" s="15">
        <v>4500</v>
      </c>
      <c r="F17" s="29">
        <v>15</v>
      </c>
      <c r="G17" s="15">
        <v>0</v>
      </c>
      <c r="H17" s="15">
        <f t="shared" si="7"/>
        <v>4500</v>
      </c>
      <c r="I17" s="15">
        <v>0</v>
      </c>
      <c r="J17" s="15">
        <v>428.97</v>
      </c>
      <c r="K17" s="15">
        <f t="shared" si="8"/>
        <v>428.97</v>
      </c>
      <c r="L17" s="15">
        <v>0</v>
      </c>
      <c r="M17" s="15">
        <v>0</v>
      </c>
      <c r="N17" s="15">
        <f t="shared" si="9"/>
        <v>517.5</v>
      </c>
      <c r="O17" s="15">
        <f t="shared" si="5"/>
        <v>946.47</v>
      </c>
      <c r="P17" s="18">
        <f t="shared" si="6"/>
        <v>3553.5299999999997</v>
      </c>
      <c r="Q17" s="10">
        <v>251.41</v>
      </c>
      <c r="R17" s="10">
        <v>900</v>
      </c>
      <c r="S17" s="35">
        <f t="shared" ref="S17:S19" si="10">Q17+R17</f>
        <v>1151.4100000000001</v>
      </c>
    </row>
    <row r="18" spans="2:19" x14ac:dyDescent="0.25">
      <c r="B18" t="s">
        <v>116</v>
      </c>
      <c r="C18" t="s">
        <v>89</v>
      </c>
      <c r="D18" t="s">
        <v>4</v>
      </c>
      <c r="E18" s="15">
        <v>2700</v>
      </c>
      <c r="F18" s="29">
        <v>15</v>
      </c>
      <c r="G18" s="15">
        <v>0</v>
      </c>
      <c r="H18" s="15">
        <f t="shared" si="7"/>
        <v>2700</v>
      </c>
      <c r="I18" s="15">
        <v>147.32</v>
      </c>
      <c r="J18" s="15">
        <v>188.33</v>
      </c>
      <c r="K18" s="15">
        <f t="shared" si="8"/>
        <v>41.010000000000019</v>
      </c>
      <c r="L18" s="15">
        <v>0</v>
      </c>
      <c r="M18" s="15">
        <v>0</v>
      </c>
      <c r="N18" s="15">
        <f t="shared" si="9"/>
        <v>310.5</v>
      </c>
      <c r="O18" s="15">
        <f>SUM(K18:N18)</f>
        <v>351.51</v>
      </c>
      <c r="P18" s="18">
        <f t="shared" si="6"/>
        <v>2348.4899999999998</v>
      </c>
      <c r="Q18" s="10">
        <v>240.25</v>
      </c>
      <c r="R18" s="10">
        <v>540</v>
      </c>
      <c r="S18" s="35">
        <f t="shared" si="10"/>
        <v>780.25</v>
      </c>
    </row>
    <row r="19" spans="2:19" x14ac:dyDescent="0.25">
      <c r="B19" t="s">
        <v>117</v>
      </c>
      <c r="C19" t="s">
        <v>88</v>
      </c>
      <c r="D19" t="s">
        <v>40</v>
      </c>
      <c r="E19" s="15">
        <v>3150</v>
      </c>
      <c r="F19" s="29">
        <v>15</v>
      </c>
      <c r="G19" s="15">
        <v>0</v>
      </c>
      <c r="H19" s="15">
        <f t="shared" si="7"/>
        <v>3150</v>
      </c>
      <c r="I19" s="15">
        <v>126.77</v>
      </c>
      <c r="J19" s="15">
        <v>237.29</v>
      </c>
      <c r="K19" s="15">
        <f t="shared" si="8"/>
        <v>110.52</v>
      </c>
      <c r="L19" s="15">
        <v>0</v>
      </c>
      <c r="M19" s="15">
        <v>0</v>
      </c>
      <c r="N19" s="15">
        <f t="shared" si="9"/>
        <v>362.25</v>
      </c>
      <c r="O19" s="15">
        <f>SUM(K19:N19)</f>
        <v>472.77</v>
      </c>
      <c r="P19" s="18">
        <f t="shared" si="6"/>
        <v>2677.23</v>
      </c>
      <c r="Q19" s="10">
        <v>243.04</v>
      </c>
      <c r="R19" s="10">
        <v>630</v>
      </c>
      <c r="S19" s="35">
        <f t="shared" si="10"/>
        <v>873.04</v>
      </c>
    </row>
    <row r="20" spans="2:19" s="30" customFormat="1" x14ac:dyDescent="0.25">
      <c r="B20" s="2" t="s">
        <v>26</v>
      </c>
      <c r="E20" s="34">
        <f t="shared" ref="E20:S20" si="11">SUM(E12:E19)</f>
        <v>41550</v>
      </c>
      <c r="F20" s="34">
        <v>0</v>
      </c>
      <c r="G20" s="34">
        <f t="shared" si="11"/>
        <v>0</v>
      </c>
      <c r="H20" s="34">
        <f t="shared" si="11"/>
        <v>41550</v>
      </c>
      <c r="I20" s="34">
        <f t="shared" si="11"/>
        <v>274.08999999999997</v>
      </c>
      <c r="J20" s="34">
        <f t="shared" si="11"/>
        <v>4768.4400000000005</v>
      </c>
      <c r="K20" s="34">
        <f t="shared" si="11"/>
        <v>4494.3500000000013</v>
      </c>
      <c r="L20" s="34">
        <f t="shared" si="11"/>
        <v>0</v>
      </c>
      <c r="M20" s="34">
        <f t="shared" si="11"/>
        <v>0</v>
      </c>
      <c r="N20" s="34">
        <f t="shared" si="11"/>
        <v>4778.25</v>
      </c>
      <c r="O20" s="34">
        <f t="shared" si="11"/>
        <v>9272.6</v>
      </c>
      <c r="P20" s="34">
        <f t="shared" si="11"/>
        <v>32277.399999999998</v>
      </c>
      <c r="Q20" s="34">
        <f t="shared" si="11"/>
        <v>2045.7200000000003</v>
      </c>
      <c r="R20" s="34">
        <f t="shared" si="11"/>
        <v>8310</v>
      </c>
      <c r="S20" s="34">
        <f t="shared" si="11"/>
        <v>10355.720000000001</v>
      </c>
    </row>
    <row r="21" spans="2:19" x14ac:dyDescent="0.25">
      <c r="B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x14ac:dyDescent="0.25">
      <c r="B22" s="2" t="s">
        <v>43</v>
      </c>
      <c r="C22" s="2" t="s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x14ac:dyDescent="0.25">
      <c r="B23" t="s">
        <v>119</v>
      </c>
      <c r="C23" t="s">
        <v>91</v>
      </c>
      <c r="D23" t="s">
        <v>76</v>
      </c>
      <c r="E23" s="15">
        <v>5350</v>
      </c>
      <c r="F23" s="29">
        <v>15</v>
      </c>
      <c r="G23" s="15">
        <v>0</v>
      </c>
      <c r="H23" s="15">
        <f>E23+G23</f>
        <v>5350</v>
      </c>
      <c r="I23" s="15">
        <v>0</v>
      </c>
      <c r="J23" s="15">
        <v>588.20000000000005</v>
      </c>
      <c r="K23" s="15">
        <f>J23-I23</f>
        <v>588.20000000000005</v>
      </c>
      <c r="L23" s="15">
        <v>0</v>
      </c>
      <c r="M23" s="15">
        <v>0</v>
      </c>
      <c r="N23" s="15">
        <f>E23*0.115</f>
        <v>615.25</v>
      </c>
      <c r="O23" s="15">
        <f>SUM(K23:N23)</f>
        <v>1203.45</v>
      </c>
      <c r="P23" s="18">
        <f>H23-O23</f>
        <v>4146.55</v>
      </c>
      <c r="Q23" s="10">
        <v>256.68</v>
      </c>
      <c r="R23" s="10">
        <v>1070</v>
      </c>
      <c r="S23" s="35">
        <f>Q23+R23</f>
        <v>1326.68</v>
      </c>
    </row>
    <row r="24" spans="2:19" s="30" customFormat="1" x14ac:dyDescent="0.25">
      <c r="B24" s="2" t="s">
        <v>26</v>
      </c>
      <c r="E24" s="34">
        <f>SUM(E23:E23)</f>
        <v>5350</v>
      </c>
      <c r="F24" s="34">
        <v>0</v>
      </c>
      <c r="G24" s="34">
        <f>G23</f>
        <v>0</v>
      </c>
      <c r="H24" s="34">
        <f t="shared" ref="H24:S24" si="12">SUM(H23:H23)</f>
        <v>5350</v>
      </c>
      <c r="I24" s="34">
        <f t="shared" si="12"/>
        <v>0</v>
      </c>
      <c r="J24" s="34">
        <f t="shared" si="12"/>
        <v>588.20000000000005</v>
      </c>
      <c r="K24" s="34">
        <f t="shared" si="12"/>
        <v>588.20000000000005</v>
      </c>
      <c r="L24" s="34">
        <f t="shared" si="12"/>
        <v>0</v>
      </c>
      <c r="M24" s="34">
        <f t="shared" si="12"/>
        <v>0</v>
      </c>
      <c r="N24" s="34">
        <f t="shared" si="12"/>
        <v>615.25</v>
      </c>
      <c r="O24" s="34">
        <f t="shared" si="12"/>
        <v>1203.45</v>
      </c>
      <c r="P24" s="34">
        <f t="shared" si="12"/>
        <v>4146.55</v>
      </c>
      <c r="Q24" s="34">
        <f t="shared" si="12"/>
        <v>256.68</v>
      </c>
      <c r="R24" s="34">
        <f t="shared" si="12"/>
        <v>1070</v>
      </c>
      <c r="S24" s="34">
        <f t="shared" si="12"/>
        <v>1326.68</v>
      </c>
    </row>
    <row r="25" spans="2:19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9" x14ac:dyDescent="0.25">
      <c r="B26" s="2" t="s">
        <v>50</v>
      </c>
      <c r="C26" s="2" t="s">
        <v>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9" x14ac:dyDescent="0.25">
      <c r="B27" t="s">
        <v>120</v>
      </c>
      <c r="C27" t="s">
        <v>93</v>
      </c>
      <c r="D27" t="s">
        <v>78</v>
      </c>
      <c r="E27" s="15">
        <v>5350</v>
      </c>
      <c r="F27" s="29">
        <v>15</v>
      </c>
      <c r="G27" s="15">
        <v>0</v>
      </c>
      <c r="H27" s="15">
        <f>E27+G27</f>
        <v>5350</v>
      </c>
      <c r="I27" s="15">
        <v>0</v>
      </c>
      <c r="J27" s="15">
        <v>588.20000000000005</v>
      </c>
      <c r="K27" s="15">
        <f>J27-I27</f>
        <v>588.20000000000005</v>
      </c>
      <c r="L27" s="15">
        <v>0</v>
      </c>
      <c r="M27" s="15">
        <v>0</v>
      </c>
      <c r="N27" s="15">
        <f>E27*0.115</f>
        <v>615.25</v>
      </c>
      <c r="O27" s="15">
        <f>SUM(K27:N27)</f>
        <v>1203.45</v>
      </c>
      <c r="P27" s="18">
        <f>H27-O27</f>
        <v>4146.55</v>
      </c>
      <c r="Q27" s="10">
        <v>256.68</v>
      </c>
      <c r="R27" s="10">
        <v>1070</v>
      </c>
      <c r="S27" s="35">
        <f>Q27+R27</f>
        <v>1326.68</v>
      </c>
    </row>
    <row r="28" spans="2:19" x14ac:dyDescent="0.25">
      <c r="B28" t="s">
        <v>121</v>
      </c>
      <c r="C28" t="s">
        <v>114</v>
      </c>
      <c r="D28" t="s">
        <v>79</v>
      </c>
      <c r="E28" s="15">
        <v>5350</v>
      </c>
      <c r="F28" s="29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E28*0.115</f>
        <v>615.25</v>
      </c>
      <c r="O28" s="15">
        <f>SUM(K28:N28)</f>
        <v>1203.45</v>
      </c>
      <c r="P28" s="18">
        <f>H28-O28</f>
        <v>4146.55</v>
      </c>
      <c r="Q28" s="10">
        <v>256.68</v>
      </c>
      <c r="R28" s="10">
        <v>1070</v>
      </c>
      <c r="S28" s="35">
        <f>Q28+R28</f>
        <v>1326.68</v>
      </c>
    </row>
    <row r="29" spans="2:19" s="30" customFormat="1" x14ac:dyDescent="0.25">
      <c r="B29" s="2" t="s">
        <v>26</v>
      </c>
      <c r="E29" s="34">
        <f>SUM(E27:E28)</f>
        <v>10700</v>
      </c>
      <c r="F29" s="34">
        <v>0</v>
      </c>
      <c r="G29" s="34">
        <f>SUM(G27:G28)</f>
        <v>0</v>
      </c>
      <c r="H29" s="34">
        <f>SUM(H27:H28)</f>
        <v>10700</v>
      </c>
      <c r="I29" s="34">
        <f t="shared" ref="I29:S29" si="13">SUM(I27:I28)</f>
        <v>0</v>
      </c>
      <c r="J29" s="34">
        <f t="shared" si="13"/>
        <v>1176.4000000000001</v>
      </c>
      <c r="K29" s="34">
        <f t="shared" si="13"/>
        <v>1176.4000000000001</v>
      </c>
      <c r="L29" s="34">
        <f t="shared" si="13"/>
        <v>0</v>
      </c>
      <c r="M29" s="34">
        <f t="shared" si="13"/>
        <v>0</v>
      </c>
      <c r="N29" s="34">
        <f t="shared" si="13"/>
        <v>1230.5</v>
      </c>
      <c r="O29" s="34">
        <f t="shared" si="13"/>
        <v>2406.9</v>
      </c>
      <c r="P29" s="34">
        <f t="shared" si="13"/>
        <v>8293.1</v>
      </c>
      <c r="Q29" s="34">
        <f t="shared" si="13"/>
        <v>513.36</v>
      </c>
      <c r="R29" s="34">
        <f t="shared" si="13"/>
        <v>2140</v>
      </c>
      <c r="S29" s="34">
        <f t="shared" si="13"/>
        <v>2653.36</v>
      </c>
    </row>
    <row r="30" spans="2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9" x14ac:dyDescent="0.25">
      <c r="B31" s="2" t="s">
        <v>63</v>
      </c>
      <c r="C31" s="2" t="s">
        <v>51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9" x14ac:dyDescent="0.25">
      <c r="B32" t="s">
        <v>122</v>
      </c>
      <c r="C32" t="s">
        <v>97</v>
      </c>
      <c r="D32" t="s">
        <v>80</v>
      </c>
      <c r="E32" s="15">
        <v>5350</v>
      </c>
      <c r="F32" s="29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E32*0.115</f>
        <v>615.25</v>
      </c>
      <c r="O32" s="15">
        <f>SUM(K32:N32)</f>
        <v>1203.45</v>
      </c>
      <c r="P32" s="18">
        <f t="shared" ref="P32:P42" si="14">H32-O32</f>
        <v>4146.55</v>
      </c>
      <c r="Q32" s="10">
        <v>256.68</v>
      </c>
      <c r="R32" s="10">
        <v>1070</v>
      </c>
      <c r="S32" s="35">
        <f t="shared" ref="S32:S42" si="15">Q32+R32</f>
        <v>1326.68</v>
      </c>
    </row>
    <row r="33" spans="2:19" x14ac:dyDescent="0.25">
      <c r="B33" t="s">
        <v>123</v>
      </c>
      <c r="C33" t="s">
        <v>100</v>
      </c>
      <c r="D33" t="s">
        <v>80</v>
      </c>
      <c r="E33" s="15">
        <v>5350</v>
      </c>
      <c r="F33" s="29">
        <v>15</v>
      </c>
      <c r="G33" s="15">
        <v>0</v>
      </c>
      <c r="H33" s="15">
        <f t="shared" ref="H33:H42" si="16">E33+G33</f>
        <v>5350</v>
      </c>
      <c r="I33" s="15">
        <v>0</v>
      </c>
      <c r="J33" s="15">
        <v>588.20000000000005</v>
      </c>
      <c r="K33" s="15">
        <f t="shared" ref="K33:K42" si="17">J33-I33</f>
        <v>588.20000000000005</v>
      </c>
      <c r="L33" s="15">
        <v>0</v>
      </c>
      <c r="M33" s="15">
        <v>0</v>
      </c>
      <c r="N33" s="15">
        <f t="shared" ref="N33:N42" si="18">E33*0.115</f>
        <v>615.25</v>
      </c>
      <c r="O33" s="15">
        <f t="shared" ref="O33:O42" si="19">SUM(K33:N33)</f>
        <v>1203.45</v>
      </c>
      <c r="P33" s="18">
        <f t="shared" si="14"/>
        <v>4146.55</v>
      </c>
      <c r="Q33" s="10">
        <v>256.68</v>
      </c>
      <c r="R33" s="10">
        <v>1070</v>
      </c>
      <c r="S33" s="35">
        <f t="shared" si="15"/>
        <v>1326.68</v>
      </c>
    </row>
    <row r="34" spans="2:19" x14ac:dyDescent="0.25">
      <c r="B34" t="s">
        <v>124</v>
      </c>
      <c r="C34" t="s">
        <v>96</v>
      </c>
      <c r="D34" t="s">
        <v>78</v>
      </c>
      <c r="E34" s="15">
        <v>5350</v>
      </c>
      <c r="F34" s="29">
        <v>15</v>
      </c>
      <c r="G34" s="15">
        <v>0</v>
      </c>
      <c r="H34" s="15">
        <f t="shared" si="16"/>
        <v>5350</v>
      </c>
      <c r="I34" s="15">
        <v>0</v>
      </c>
      <c r="J34" s="15">
        <v>588.20000000000005</v>
      </c>
      <c r="K34" s="15">
        <f t="shared" si="17"/>
        <v>588.20000000000005</v>
      </c>
      <c r="L34" s="15">
        <v>0</v>
      </c>
      <c r="M34" s="15">
        <v>0</v>
      </c>
      <c r="N34" s="15">
        <f t="shared" si="18"/>
        <v>615.25</v>
      </c>
      <c r="O34" s="15">
        <f t="shared" si="19"/>
        <v>1203.45</v>
      </c>
      <c r="P34" s="18">
        <f t="shared" si="14"/>
        <v>4146.55</v>
      </c>
      <c r="Q34" s="10">
        <v>256.68</v>
      </c>
      <c r="R34" s="10">
        <v>1070</v>
      </c>
      <c r="S34" s="35">
        <f t="shared" si="15"/>
        <v>1326.68</v>
      </c>
    </row>
    <row r="35" spans="2:19" x14ac:dyDescent="0.25">
      <c r="B35" t="s">
        <v>125</v>
      </c>
      <c r="C35" t="s">
        <v>104</v>
      </c>
      <c r="D35" t="s">
        <v>78</v>
      </c>
      <c r="E35" s="15">
        <v>5350</v>
      </c>
      <c r="F35" s="29">
        <v>15</v>
      </c>
      <c r="G35" s="15">
        <v>0</v>
      </c>
      <c r="H35" s="15">
        <f t="shared" si="16"/>
        <v>5350</v>
      </c>
      <c r="I35" s="15">
        <v>0</v>
      </c>
      <c r="J35" s="15">
        <v>588.20000000000005</v>
      </c>
      <c r="K35" s="15">
        <f t="shared" si="17"/>
        <v>588.20000000000005</v>
      </c>
      <c r="L35" s="15">
        <v>0</v>
      </c>
      <c r="M35" s="15">
        <v>0</v>
      </c>
      <c r="N35" s="15">
        <f t="shared" si="18"/>
        <v>615.25</v>
      </c>
      <c r="O35" s="15">
        <f t="shared" si="19"/>
        <v>1203.45</v>
      </c>
      <c r="P35" s="18">
        <f t="shared" si="14"/>
        <v>4146.55</v>
      </c>
      <c r="Q35" s="10">
        <v>256.68</v>
      </c>
      <c r="R35" s="10">
        <v>1070</v>
      </c>
      <c r="S35" s="35">
        <f t="shared" si="15"/>
        <v>1326.68</v>
      </c>
    </row>
    <row r="36" spans="2:19" x14ac:dyDescent="0.25">
      <c r="B36" t="s">
        <v>126</v>
      </c>
      <c r="C36" t="s">
        <v>94</v>
      </c>
      <c r="D36" t="s">
        <v>81</v>
      </c>
      <c r="E36" s="15">
        <v>5350</v>
      </c>
      <c r="F36" s="29">
        <v>15</v>
      </c>
      <c r="G36" s="15">
        <v>0</v>
      </c>
      <c r="H36" s="15">
        <f t="shared" si="16"/>
        <v>5350</v>
      </c>
      <c r="I36" s="15">
        <v>0</v>
      </c>
      <c r="J36" s="15">
        <v>588.20000000000005</v>
      </c>
      <c r="K36" s="15">
        <f t="shared" si="17"/>
        <v>588.20000000000005</v>
      </c>
      <c r="L36" s="15">
        <v>0</v>
      </c>
      <c r="M36" s="15">
        <v>0</v>
      </c>
      <c r="N36" s="15">
        <f t="shared" si="18"/>
        <v>615.25</v>
      </c>
      <c r="O36" s="15">
        <f t="shared" si="19"/>
        <v>1203.45</v>
      </c>
      <c r="P36" s="18">
        <f t="shared" si="14"/>
        <v>4146.55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127</v>
      </c>
      <c r="C37" t="s">
        <v>98</v>
      </c>
      <c r="D37" t="s">
        <v>81</v>
      </c>
      <c r="E37" s="15">
        <v>5350</v>
      </c>
      <c r="F37" s="29">
        <v>15</v>
      </c>
      <c r="G37" s="15">
        <v>0</v>
      </c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8"/>
        <v>615.25</v>
      </c>
      <c r="O37" s="15">
        <f t="shared" si="19"/>
        <v>1203.45</v>
      </c>
      <c r="P37" s="18">
        <f t="shared" si="14"/>
        <v>4146.55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128</v>
      </c>
      <c r="C38" t="s">
        <v>101</v>
      </c>
      <c r="D38" t="s">
        <v>81</v>
      </c>
      <c r="E38" s="15">
        <v>5350</v>
      </c>
      <c r="F38" s="29">
        <v>15</v>
      </c>
      <c r="G38" s="15">
        <v>0</v>
      </c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8"/>
        <v>615.25</v>
      </c>
      <c r="O38" s="15">
        <f t="shared" si="19"/>
        <v>1203.45</v>
      </c>
      <c r="P38" s="18">
        <f t="shared" si="14"/>
        <v>4146.55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t="s">
        <v>129</v>
      </c>
      <c r="C39" t="s">
        <v>95</v>
      </c>
      <c r="D39" t="s">
        <v>82</v>
      </c>
      <c r="E39" s="15">
        <v>5350</v>
      </c>
      <c r="F39" s="29">
        <v>15</v>
      </c>
      <c r="G39" s="15">
        <v>0</v>
      </c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8"/>
        <v>615.25</v>
      </c>
      <c r="O39" s="15">
        <f t="shared" si="19"/>
        <v>1203.45</v>
      </c>
      <c r="P39" s="18">
        <f t="shared" si="14"/>
        <v>4146.55</v>
      </c>
      <c r="Q39" s="10">
        <v>256.68</v>
      </c>
      <c r="R39" s="10">
        <v>1070</v>
      </c>
      <c r="S39" s="35">
        <f t="shared" si="15"/>
        <v>1326.68</v>
      </c>
    </row>
    <row r="40" spans="2:19" x14ac:dyDescent="0.25">
      <c r="B40" t="s">
        <v>130</v>
      </c>
      <c r="C40" t="s">
        <v>102</v>
      </c>
      <c r="D40" t="s">
        <v>82</v>
      </c>
      <c r="E40" s="15">
        <v>5350</v>
      </c>
      <c r="F40" s="29">
        <v>15</v>
      </c>
      <c r="G40" s="15">
        <v>0</v>
      </c>
      <c r="H40" s="15">
        <f t="shared" si="16"/>
        <v>5350</v>
      </c>
      <c r="I40" s="15">
        <v>0</v>
      </c>
      <c r="J40" s="15">
        <v>588.20000000000005</v>
      </c>
      <c r="K40" s="15">
        <f t="shared" si="17"/>
        <v>588.20000000000005</v>
      </c>
      <c r="L40" s="15">
        <v>0</v>
      </c>
      <c r="M40" s="15">
        <v>0</v>
      </c>
      <c r="N40" s="15">
        <f t="shared" si="18"/>
        <v>615.25</v>
      </c>
      <c r="O40" s="15">
        <f t="shared" si="19"/>
        <v>1203.45</v>
      </c>
      <c r="P40" s="18">
        <f t="shared" si="14"/>
        <v>4146.55</v>
      </c>
      <c r="Q40" s="10">
        <v>256.68</v>
      </c>
      <c r="R40" s="10">
        <v>1070</v>
      </c>
      <c r="S40" s="35">
        <f t="shared" si="15"/>
        <v>1326.68</v>
      </c>
    </row>
    <row r="41" spans="2:19" x14ac:dyDescent="0.25">
      <c r="B41" t="s">
        <v>131</v>
      </c>
      <c r="C41" t="s">
        <v>85</v>
      </c>
      <c r="D41" t="s">
        <v>83</v>
      </c>
      <c r="E41" s="15">
        <v>5350</v>
      </c>
      <c r="F41" s="29">
        <v>15</v>
      </c>
      <c r="G41" s="15">
        <v>0</v>
      </c>
      <c r="H41" s="15">
        <f t="shared" si="16"/>
        <v>5350</v>
      </c>
      <c r="I41" s="15">
        <v>0</v>
      </c>
      <c r="J41" s="15">
        <v>588.20000000000005</v>
      </c>
      <c r="K41" s="15">
        <f t="shared" si="17"/>
        <v>588.20000000000005</v>
      </c>
      <c r="L41" s="15">
        <v>0</v>
      </c>
      <c r="M41" s="15">
        <v>0</v>
      </c>
      <c r="N41" s="15">
        <f t="shared" si="18"/>
        <v>615.25</v>
      </c>
      <c r="O41" s="15">
        <f t="shared" si="19"/>
        <v>1203.45</v>
      </c>
      <c r="P41" s="18">
        <f t="shared" si="14"/>
        <v>4146.55</v>
      </c>
      <c r="Q41" s="10">
        <v>256.68</v>
      </c>
      <c r="R41" s="10">
        <v>1070</v>
      </c>
      <c r="S41" s="35">
        <f t="shared" si="15"/>
        <v>1326.68</v>
      </c>
    </row>
    <row r="42" spans="2:19" x14ac:dyDescent="0.25">
      <c r="B42" t="s">
        <v>132</v>
      </c>
      <c r="C42" t="s">
        <v>103</v>
      </c>
      <c r="D42" t="s">
        <v>83</v>
      </c>
      <c r="E42" s="15">
        <v>5350</v>
      </c>
      <c r="F42" s="29">
        <v>15</v>
      </c>
      <c r="G42" s="15">
        <v>0</v>
      </c>
      <c r="H42" s="15">
        <f t="shared" si="16"/>
        <v>5350</v>
      </c>
      <c r="I42" s="15">
        <v>0</v>
      </c>
      <c r="J42" s="15">
        <v>588.20000000000005</v>
      </c>
      <c r="K42" s="15">
        <f t="shared" si="17"/>
        <v>588.20000000000005</v>
      </c>
      <c r="L42" s="15">
        <v>0</v>
      </c>
      <c r="M42" s="15">
        <v>0</v>
      </c>
      <c r="N42" s="15">
        <f t="shared" si="18"/>
        <v>615.25</v>
      </c>
      <c r="O42" s="15">
        <f t="shared" si="19"/>
        <v>1203.45</v>
      </c>
      <c r="P42" s="18">
        <f t="shared" si="14"/>
        <v>4146.55</v>
      </c>
      <c r="Q42" s="10">
        <v>256.68</v>
      </c>
      <c r="R42" s="10">
        <v>1070</v>
      </c>
      <c r="S42" s="35">
        <f t="shared" si="15"/>
        <v>1326.68</v>
      </c>
    </row>
    <row r="43" spans="2:19" s="30" customFormat="1" x14ac:dyDescent="0.25">
      <c r="B43" s="2" t="s">
        <v>26</v>
      </c>
      <c r="E43" s="34">
        <f>SUM(E32:E42)</f>
        <v>58850</v>
      </c>
      <c r="F43" s="34">
        <v>0</v>
      </c>
      <c r="G43" s="34">
        <f>SUM(G32:G42)</f>
        <v>0</v>
      </c>
      <c r="H43" s="34">
        <f>SUM(H32:H42)</f>
        <v>58850</v>
      </c>
      <c r="I43" s="34">
        <f t="shared" ref="I43:S43" si="20">SUM(I32:I42)</f>
        <v>0</v>
      </c>
      <c r="J43" s="34">
        <f t="shared" si="20"/>
        <v>6470.1999999999989</v>
      </c>
      <c r="K43" s="34">
        <f t="shared" si="20"/>
        <v>6470.1999999999989</v>
      </c>
      <c r="L43" s="34">
        <f t="shared" si="20"/>
        <v>0</v>
      </c>
      <c r="M43" s="34">
        <f t="shared" si="20"/>
        <v>0</v>
      </c>
      <c r="N43" s="34">
        <f t="shared" si="20"/>
        <v>6767.75</v>
      </c>
      <c r="O43" s="34">
        <f t="shared" si="20"/>
        <v>13237.950000000003</v>
      </c>
      <c r="P43" s="34">
        <f t="shared" si="20"/>
        <v>45612.05000000001</v>
      </c>
      <c r="Q43" s="34">
        <f t="shared" si="20"/>
        <v>2823.4799999999996</v>
      </c>
      <c r="R43" s="34">
        <f t="shared" si="20"/>
        <v>11770</v>
      </c>
      <c r="S43" s="34">
        <f t="shared" si="20"/>
        <v>14593.480000000001</v>
      </c>
    </row>
    <row r="44" spans="2:19" x14ac:dyDescent="0.2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9" x14ac:dyDescent="0.25">
      <c r="B45" s="2" t="s">
        <v>140</v>
      </c>
      <c r="C45" s="2" t="s">
        <v>64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9" x14ac:dyDescent="0.25">
      <c r="B46" t="s">
        <v>133</v>
      </c>
      <c r="C46" t="s">
        <v>99</v>
      </c>
      <c r="D46" t="s">
        <v>80</v>
      </c>
      <c r="E46" s="15">
        <v>5350</v>
      </c>
      <c r="F46" s="29">
        <v>15</v>
      </c>
      <c r="G46" s="15">
        <v>0</v>
      </c>
      <c r="H46" s="15">
        <f>E46+G46</f>
        <v>5350</v>
      </c>
      <c r="I46" s="15">
        <v>0</v>
      </c>
      <c r="J46" s="15">
        <v>588.20000000000005</v>
      </c>
      <c r="K46" s="15">
        <f>J46-I46</f>
        <v>588.20000000000005</v>
      </c>
      <c r="L46" s="15">
        <v>0</v>
      </c>
      <c r="M46" s="15">
        <v>0</v>
      </c>
      <c r="N46" s="15">
        <f>E46*0.115</f>
        <v>615.25</v>
      </c>
      <c r="O46" s="15">
        <f>SUM(K46:N46)</f>
        <v>1203.45</v>
      </c>
      <c r="P46" s="18">
        <f>H46-O46</f>
        <v>4146.55</v>
      </c>
      <c r="Q46" s="10">
        <v>256.68</v>
      </c>
      <c r="R46" s="10">
        <v>1070</v>
      </c>
      <c r="S46" s="35">
        <f t="shared" ref="S46:S47" si="21">Q46+R46</f>
        <v>1326.68</v>
      </c>
    </row>
    <row r="47" spans="2:19" x14ac:dyDescent="0.25">
      <c r="B47" t="s">
        <v>152</v>
      </c>
      <c r="C47" t="s">
        <v>92</v>
      </c>
      <c r="D47" t="s">
        <v>80</v>
      </c>
      <c r="E47" s="15">
        <v>5350</v>
      </c>
      <c r="F47" s="29">
        <v>15</v>
      </c>
      <c r="G47" s="15">
        <v>0</v>
      </c>
      <c r="H47" s="15">
        <f>E47+G47</f>
        <v>5350</v>
      </c>
      <c r="I47" s="15">
        <v>0</v>
      </c>
      <c r="J47" s="15">
        <v>588.20000000000005</v>
      </c>
      <c r="K47" s="15">
        <v>588.20000000000005</v>
      </c>
      <c r="L47" s="15">
        <v>0</v>
      </c>
      <c r="M47" s="15">
        <v>0</v>
      </c>
      <c r="N47" s="15">
        <f>E47*0.115</f>
        <v>615.25</v>
      </c>
      <c r="O47" s="15">
        <f>SUM(K47:N47)</f>
        <v>1203.45</v>
      </c>
      <c r="P47" s="18">
        <f>H47-O47</f>
        <v>4146.55</v>
      </c>
      <c r="Q47" s="10">
        <v>256.68</v>
      </c>
      <c r="R47" s="10">
        <v>1070</v>
      </c>
      <c r="S47" s="35">
        <f t="shared" si="21"/>
        <v>1326.68</v>
      </c>
    </row>
    <row r="48" spans="2:19" s="30" customFormat="1" x14ac:dyDescent="0.25">
      <c r="B48" s="2" t="s">
        <v>26</v>
      </c>
      <c r="E48" s="34">
        <f>E46+E47</f>
        <v>10700</v>
      </c>
      <c r="F48" s="34">
        <v>0</v>
      </c>
      <c r="G48" s="34">
        <f>G46+G47</f>
        <v>0</v>
      </c>
      <c r="H48" s="34">
        <f t="shared" ref="H48:S48" si="22">H46+H47</f>
        <v>10700</v>
      </c>
      <c r="I48" s="34">
        <f t="shared" si="22"/>
        <v>0</v>
      </c>
      <c r="J48" s="34">
        <f t="shared" si="22"/>
        <v>1176.4000000000001</v>
      </c>
      <c r="K48" s="34">
        <f t="shared" si="22"/>
        <v>1176.4000000000001</v>
      </c>
      <c r="L48" s="34">
        <f t="shared" si="22"/>
        <v>0</v>
      </c>
      <c r="M48" s="34">
        <f t="shared" si="22"/>
        <v>0</v>
      </c>
      <c r="N48" s="34">
        <f t="shared" si="22"/>
        <v>1230.5</v>
      </c>
      <c r="O48" s="34">
        <f t="shared" si="22"/>
        <v>2406.9</v>
      </c>
      <c r="P48" s="34">
        <f t="shared" si="22"/>
        <v>8293.1</v>
      </c>
      <c r="Q48" s="34">
        <f t="shared" si="22"/>
        <v>513.36</v>
      </c>
      <c r="R48" s="34">
        <f t="shared" si="22"/>
        <v>2140</v>
      </c>
      <c r="S48" s="34">
        <f t="shared" si="22"/>
        <v>2653.36</v>
      </c>
    </row>
    <row r="49" spans="2:19" x14ac:dyDescent="0.25">
      <c r="B49" s="2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8"/>
      <c r="R49" s="8"/>
      <c r="S49" s="8"/>
    </row>
    <row r="51" spans="2:19" ht="18.75" x14ac:dyDescent="0.3">
      <c r="D51" s="4" t="s">
        <v>105</v>
      </c>
      <c r="E51" s="17">
        <f>E9+E20+E24+E29+E43+E48</f>
        <v>158954.95000000001</v>
      </c>
      <c r="F51" s="17">
        <f t="shared" ref="F51:S51" si="23">F9+F20+F24+F29+F43+F48</f>
        <v>0</v>
      </c>
      <c r="G51" s="17">
        <f t="shared" si="23"/>
        <v>0</v>
      </c>
      <c r="H51" s="17">
        <f t="shared" si="23"/>
        <v>158954.95000000001</v>
      </c>
      <c r="I51" s="17">
        <f t="shared" si="23"/>
        <v>274.08999999999997</v>
      </c>
      <c r="J51" s="17">
        <f t="shared" si="23"/>
        <v>19499.7</v>
      </c>
      <c r="K51" s="17">
        <f t="shared" si="23"/>
        <v>19225.61</v>
      </c>
      <c r="L51" s="17">
        <f t="shared" si="23"/>
        <v>0</v>
      </c>
      <c r="M51" s="17">
        <f t="shared" si="23"/>
        <v>0</v>
      </c>
      <c r="N51" s="17">
        <f t="shared" si="23"/>
        <v>18279.81925</v>
      </c>
      <c r="O51" s="17">
        <f t="shared" si="23"/>
        <v>37505.429250000008</v>
      </c>
      <c r="P51" s="17">
        <f t="shared" si="23"/>
        <v>121449.52075000003</v>
      </c>
      <c r="Q51" s="17">
        <f t="shared" si="23"/>
        <v>7020.3799999999992</v>
      </c>
      <c r="R51" s="17">
        <f t="shared" si="23"/>
        <v>31790.989999999998</v>
      </c>
      <c r="S51" s="17">
        <f t="shared" si="23"/>
        <v>38811.370000000003</v>
      </c>
    </row>
    <row r="57" spans="2:19" ht="15.75" thickBot="1" x14ac:dyDescent="0.3">
      <c r="E57" s="89"/>
      <c r="F57" s="89"/>
      <c r="G57" s="89"/>
      <c r="J57" s="89"/>
      <c r="K57" s="89"/>
      <c r="L57" s="89"/>
    </row>
    <row r="58" spans="2:19" x14ac:dyDescent="0.25">
      <c r="E58" s="91" t="s">
        <v>146</v>
      </c>
      <c r="F58" s="91"/>
      <c r="G58" s="91"/>
      <c r="J58" s="92" t="s">
        <v>145</v>
      </c>
      <c r="K58" s="92"/>
      <c r="L58" s="92"/>
    </row>
    <row r="59" spans="2:19" ht="15.75" x14ac:dyDescent="0.3">
      <c r="E59" s="93" t="s">
        <v>144</v>
      </c>
      <c r="F59" s="93"/>
      <c r="G59" s="91"/>
      <c r="J59" s="93" t="s">
        <v>145</v>
      </c>
      <c r="K59" s="93"/>
      <c r="L59" s="93"/>
    </row>
  </sheetData>
  <mergeCells count="8">
    <mergeCell ref="E59:G59"/>
    <mergeCell ref="J59:L59"/>
    <mergeCell ref="C2:D2"/>
    <mergeCell ref="E3:S3"/>
    <mergeCell ref="E57:G57"/>
    <mergeCell ref="J57:L57"/>
    <mergeCell ref="E58:G58"/>
    <mergeCell ref="J58:L58"/>
  </mergeCells>
  <pageMargins left="0.70866141732283472" right="0.70866141732283472" top="0.74803149606299213" bottom="0.74803149606299213" header="0.31496062992125984" footer="0.31496062992125984"/>
  <pageSetup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Nómina 1a. Sep</vt:lpstr>
      <vt:lpstr>Nómina 2a. sep</vt:lpstr>
      <vt:lpstr>Nómina 1a. oct</vt:lpstr>
      <vt:lpstr>Nómina 2a. oct (2)</vt:lpstr>
      <vt:lpstr>1A NOVIEMBRE 2015</vt:lpstr>
      <vt:lpstr>2A NOVIEMBRE 2015</vt:lpstr>
      <vt:lpstr>1A DICIEMBRE 2015</vt:lpstr>
      <vt:lpstr>2A DICIEMBRE 2015</vt:lpstr>
      <vt:lpstr>1A ENERO 2016</vt:lpstr>
      <vt:lpstr>2A ENERO 2016</vt:lpstr>
      <vt:lpstr>1A FEBRERO 2016</vt:lpstr>
      <vt:lpstr>2A FEBRERO 2016</vt:lpstr>
      <vt:lpstr>1A MARZO 2016</vt:lpstr>
      <vt:lpstr>2A MARZO 2016</vt:lpstr>
      <vt:lpstr>1A ABRIL 2016</vt:lpstr>
      <vt:lpstr>2A ABRIL 2016</vt:lpstr>
      <vt:lpstr>1A MAYO</vt:lpstr>
      <vt:lpstr>2A MAYO</vt:lpstr>
      <vt:lpstr>1A JUNIO </vt:lpstr>
      <vt:lpstr>2DA JUNIO</vt:lpstr>
      <vt:lpstr>1A JULIO</vt:lpstr>
      <vt:lpstr>2DA JULIO </vt:lpstr>
      <vt:lpstr>1A AGOSTO</vt:lpstr>
      <vt:lpstr>2DA AGOSTO </vt:lpstr>
      <vt:lpstr>'2A MAYO'!Área_de_impresión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topete martinez</cp:lastModifiedBy>
  <cp:lastPrinted>2016-09-01T14:58:34Z</cp:lastPrinted>
  <dcterms:created xsi:type="dcterms:W3CDTF">2015-06-25T00:27:43Z</dcterms:created>
  <dcterms:modified xsi:type="dcterms:W3CDTF">2016-09-01T15:04:40Z</dcterms:modified>
</cp:coreProperties>
</file>